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E:\1_NBG presentasjon\"/>
    </mc:Choice>
  </mc:AlternateContent>
  <xr:revisionPtr revIDLastSave="0" documentId="13_ncr:1_{E14A7293-7CA5-4A11-A9D0-084605FF985B}" xr6:coauthVersionLast="47" xr6:coauthVersionMax="47" xr10:uidLastSave="{00000000-0000-0000-0000-000000000000}"/>
  <bookViews>
    <workbookView xWindow="-120" yWindow="-120" windowWidth="29040" windowHeight="15720" firstSheet="1" activeTab="1" xr2:uid="{00000000-000D-0000-FFFF-FFFF00000000}"/>
  </bookViews>
  <sheets>
    <sheet name="How to start" sheetId="58" r:id="rId1"/>
    <sheet name="INPUT and CALCULATIONS" sheetId="37" r:id="rId2"/>
    <sheet name="Parameter tables" sheetId="5" r:id="rId3"/>
    <sheet name="Rock strength" sheetId="59" r:id="rId4"/>
    <sheet name="RMR support" sheetId="21" r:id="rId5"/>
    <sheet name="Q-support" sheetId="20" r:id="rId6"/>
    <sheet name="RMi-support" sheetId="22" r:id="rId7"/>
    <sheet name="Support capacity" sheetId="5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37" l="1"/>
  <c r="F99" i="37"/>
  <c r="D74" i="37"/>
  <c r="D41" i="37"/>
  <c r="C41" i="37"/>
  <c r="G41" i="37" l="1"/>
  <c r="V17" i="37"/>
  <c r="J41" i="37" l="1"/>
  <c r="G124" i="37"/>
  <c r="G123" i="37"/>
  <c r="M43" i="37" l="1"/>
  <c r="P28" i="37"/>
  <c r="G142" i="37"/>
  <c r="N35" i="37" s="1"/>
  <c r="P167" i="5"/>
  <c r="P170" i="5"/>
  <c r="O170" i="5"/>
  <c r="P168" i="5"/>
  <c r="P169" i="5"/>
  <c r="Q126" i="37" l="1"/>
  <c r="M126" i="37"/>
  <c r="F46" i="5"/>
  <c r="L46" i="5" s="1"/>
  <c r="T142" i="37"/>
  <c r="T141" i="37"/>
  <c r="T140" i="37"/>
  <c r="T139" i="37"/>
  <c r="D47" i="37"/>
  <c r="G47" i="37"/>
  <c r="K31" i="37"/>
  <c r="J30" i="37"/>
  <c r="N9" i="37" l="1"/>
  <c r="K30" i="37"/>
  <c r="Q40" i="37"/>
  <c r="N28" i="37" l="1"/>
  <c r="G93" i="37"/>
  <c r="M86" i="37"/>
  <c r="P32" i="37"/>
  <c r="AC170" i="5"/>
  <c r="H118" i="37" l="1"/>
  <c r="P10" i="37"/>
  <c r="D9" i="5" l="1"/>
  <c r="D8" i="5"/>
  <c r="D10" i="5"/>
  <c r="G141" i="37"/>
  <c r="N37" i="37" s="1"/>
  <c r="F141" i="37"/>
  <c r="L141" i="37"/>
  <c r="M47" i="37" l="1"/>
  <c r="P37" i="37"/>
  <c r="P36" i="37"/>
  <c r="P35" i="37"/>
  <c r="P34" i="37"/>
  <c r="P33" i="37"/>
  <c r="P30" i="37"/>
  <c r="P26" i="37"/>
  <c r="P25" i="37"/>
  <c r="P24" i="37"/>
  <c r="P23" i="37"/>
  <c r="P22" i="37"/>
  <c r="P21" i="37"/>
  <c r="P20" i="37"/>
  <c r="P19" i="37"/>
  <c r="P18" i="37"/>
  <c r="P17" i="37"/>
  <c r="P16" i="37"/>
  <c r="P15" i="37"/>
  <c r="P14" i="37"/>
  <c r="P13" i="37"/>
  <c r="P11" i="37"/>
  <c r="P27" i="37"/>
  <c r="P31" i="37"/>
  <c r="K35" i="37"/>
  <c r="J189" i="5"/>
  <c r="K189" i="5"/>
  <c r="J190" i="5"/>
  <c r="F93" i="37" s="1"/>
  <c r="K190" i="5"/>
  <c r="F97" i="37" s="1"/>
  <c r="J191" i="5"/>
  <c r="K191" i="5"/>
  <c r="J192" i="5"/>
  <c r="K192" i="5"/>
  <c r="J193" i="5"/>
  <c r="K193" i="5"/>
  <c r="J194" i="5"/>
  <c r="K194" i="5"/>
  <c r="K188" i="5"/>
  <c r="J188" i="5"/>
  <c r="L189" i="5"/>
  <c r="L190" i="5"/>
  <c r="L191" i="5"/>
  <c r="L192" i="5"/>
  <c r="L193" i="5"/>
  <c r="L188" i="5"/>
  <c r="N25" i="37" l="1"/>
  <c r="AA170" i="5"/>
  <c r="AG168" i="5"/>
  <c r="AG167" i="5"/>
  <c r="AG169" i="5"/>
  <c r="K161" i="37" l="1"/>
  <c r="F161" i="37"/>
  <c r="F160" i="37"/>
  <c r="L174" i="5"/>
  <c r="F176" i="5"/>
  <c r="L176" i="5" s="1"/>
  <c r="F175" i="5"/>
  <c r="L175" i="5" s="1"/>
  <c r="S170" i="5" s="1"/>
  <c r="AG170" i="5" s="1"/>
  <c r="L138" i="37"/>
  <c r="N75" i="37"/>
  <c r="K27" i="37" l="1"/>
  <c r="F147" i="37"/>
  <c r="F146" i="37"/>
  <c r="Y12" i="37" l="1"/>
  <c r="Y11" i="37"/>
  <c r="M44" i="37" l="1"/>
  <c r="Q41" i="37" s="1"/>
  <c r="N11" i="37"/>
  <c r="I28" i="37"/>
  <c r="P9" i="37"/>
  <c r="I48" i="37" l="1"/>
  <c r="P42" i="37"/>
  <c r="M57" i="37"/>
  <c r="J44" i="37"/>
  <c r="X190" i="5"/>
  <c r="J47" i="37" l="1"/>
  <c r="J45" i="37"/>
  <c r="N69" i="37"/>
  <c r="J57" i="37"/>
  <c r="W28" i="37"/>
  <c r="Y27" i="37"/>
  <c r="X191" i="5"/>
  <c r="H98" i="37" l="1"/>
  <c r="N36" i="37" s="1"/>
  <c r="G98" i="37"/>
  <c r="G130" i="37"/>
  <c r="F123" i="37"/>
  <c r="F122" i="37"/>
  <c r="F124" i="37"/>
  <c r="E96" i="37"/>
  <c r="E95" i="37"/>
  <c r="E94" i="37"/>
  <c r="A40" i="37" l="1"/>
  <c r="A42" i="37"/>
  <c r="F128" i="37" l="1"/>
  <c r="G128" i="37" s="1"/>
  <c r="J69" i="37" l="1"/>
  <c r="C43" i="37" l="1"/>
  <c r="N30" i="37" l="1"/>
  <c r="N31" i="37"/>
  <c r="N16" i="37"/>
  <c r="Z19" i="37" l="1"/>
  <c r="N26" i="37"/>
  <c r="F98" i="37"/>
  <c r="E98" i="37"/>
  <c r="M122" i="37"/>
  <c r="Z20" i="37" l="1"/>
  <c r="AA20" i="37" s="1"/>
  <c r="J43" i="37"/>
  <c r="J42" i="37"/>
  <c r="L142" i="37"/>
  <c r="J72" i="37" s="1"/>
  <c r="P7" i="37" l="1"/>
  <c r="Y15" i="37"/>
  <c r="U14" i="37"/>
  <c r="D42" i="37" l="1"/>
  <c r="M95" i="37" l="1"/>
  <c r="M94" i="37"/>
  <c r="G137" i="37"/>
  <c r="G118" i="37"/>
  <c r="N27" i="37"/>
  <c r="R126" i="37"/>
  <c r="N19" i="37" s="1"/>
  <c r="N126" i="37"/>
  <c r="N18" i="37" s="1"/>
  <c r="D40" i="37" l="1"/>
  <c r="C45" i="37" l="1"/>
  <c r="C44" i="37"/>
  <c r="E46" i="37" s="1"/>
  <c r="E99" i="37"/>
  <c r="M92" i="37"/>
  <c r="G126" i="37"/>
  <c r="N24" i="37" s="1"/>
  <c r="F126" i="37"/>
  <c r="F46" i="37" l="1"/>
  <c r="E108" i="37"/>
  <c r="G122" i="37"/>
  <c r="G92" i="37"/>
  <c r="N21" i="37" s="1"/>
  <c r="G91" i="37"/>
  <c r="N20" i="37" s="1"/>
  <c r="E92" i="37"/>
  <c r="E91" i="37"/>
  <c r="G89" i="37"/>
  <c r="E89" i="37"/>
  <c r="H89" i="37" s="1"/>
  <c r="G125" i="37" l="1"/>
  <c r="N22" i="37" s="1"/>
  <c r="D110" i="37" l="1"/>
  <c r="G70" i="37" s="1"/>
  <c r="J70" i="37" l="1"/>
  <c r="D112" i="37" l="1"/>
  <c r="D72" i="37" l="1"/>
  <c r="G73" i="37"/>
  <c r="M161" i="37"/>
  <c r="N161" i="37" s="1"/>
  <c r="F137" i="37" l="1"/>
  <c r="M48" i="37" l="1"/>
  <c r="M38" i="37" s="1"/>
  <c r="N6" i="37" s="1"/>
  <c r="Q125" i="37"/>
  <c r="P125" i="37" s="1"/>
  <c r="N53" i="37" l="1"/>
  <c r="N60" i="37"/>
  <c r="M98" i="37" l="1"/>
  <c r="Y16" i="37" l="1"/>
  <c r="Y14" i="37"/>
  <c r="Z14" i="37" s="1"/>
  <c r="Y13" i="37"/>
  <c r="Z13" i="37" s="1"/>
  <c r="L159" i="37" l="1"/>
  <c r="L158" i="37"/>
  <c r="L160" i="37"/>
  <c r="F159" i="37" l="1"/>
  <c r="F158" i="37"/>
  <c r="O167" i="5"/>
  <c r="F143" i="37"/>
  <c r="F144" i="37" l="1"/>
  <c r="G145" i="37"/>
  <c r="N34" i="37" s="1"/>
  <c r="G144" i="37"/>
  <c r="N33" i="37" s="1"/>
  <c r="F145" i="37"/>
  <c r="B158" i="37"/>
  <c r="K160" i="37" l="1"/>
  <c r="M160" i="37" s="1"/>
  <c r="N160" i="37" s="1"/>
  <c r="K159" i="37"/>
  <c r="M159" i="37" s="1"/>
  <c r="H160" i="37"/>
  <c r="H161" i="37"/>
  <c r="H159" i="37"/>
  <c r="E160" i="37"/>
  <c r="G160" i="37" s="1"/>
  <c r="E161" i="37"/>
  <c r="G161" i="37" s="1"/>
  <c r="P161" i="37" s="1"/>
  <c r="E159" i="37"/>
  <c r="G159" i="37" s="1"/>
  <c r="K158" i="37"/>
  <c r="M158" i="37" s="1"/>
  <c r="H158" i="37"/>
  <c r="E158" i="37"/>
  <c r="G158" i="37" s="1"/>
  <c r="G96" i="37"/>
  <c r="G95" i="37"/>
  <c r="M162" i="37" l="1"/>
  <c r="M163" i="37" s="1"/>
  <c r="F138" i="37" s="1"/>
  <c r="N158" i="37"/>
  <c r="N159" i="37"/>
  <c r="O168" i="5"/>
  <c r="O169" i="5"/>
  <c r="N32" i="37" l="1"/>
  <c r="B159" i="37"/>
  <c r="B161" i="37"/>
  <c r="N162" i="37"/>
  <c r="N163" i="37" s="1"/>
  <c r="F139" i="37" s="1"/>
  <c r="B160" i="37"/>
  <c r="H138" i="37"/>
  <c r="H87" i="37" s="1"/>
  <c r="P87" i="37" l="1"/>
  <c r="L40" i="5"/>
  <c r="D58" i="5"/>
  <c r="D45" i="5"/>
  <c r="L45" i="5" s="1"/>
  <c r="D43" i="5"/>
  <c r="P6" i="37" l="1"/>
  <c r="M118" i="37" l="1"/>
  <c r="E109" i="37" l="1"/>
  <c r="F100" i="37" l="1"/>
  <c r="E100" i="37"/>
  <c r="K48" i="37" l="1"/>
  <c r="K53" i="37"/>
  <c r="K60" i="37"/>
  <c r="M59" i="37"/>
  <c r="M51" i="37"/>
  <c r="M52" i="37"/>
  <c r="N52" i="37" s="1"/>
  <c r="M55" i="37"/>
  <c r="N55" i="37" s="1"/>
  <c r="L89" i="37" l="1"/>
  <c r="AA168" i="5"/>
  <c r="AC168" i="5"/>
  <c r="M168" i="5"/>
  <c r="AA169" i="5"/>
  <c r="AC169" i="5"/>
  <c r="M169" i="5"/>
  <c r="J52" i="37" l="1"/>
  <c r="K52" i="37" s="1"/>
  <c r="K89" i="37"/>
  <c r="E107" i="37" l="1"/>
  <c r="H109" i="37" s="1"/>
  <c r="M167" i="5" l="1"/>
  <c r="AC167" i="5"/>
  <c r="AA167" i="5"/>
  <c r="M170" i="5"/>
  <c r="M65" i="37" l="1"/>
  <c r="M64" i="37"/>
  <c r="J55" i="37" l="1"/>
  <c r="K55" i="37" s="1"/>
  <c r="N48" i="37"/>
  <c r="M50" i="37" l="1"/>
  <c r="M54" i="37"/>
  <c r="M61" i="37"/>
  <c r="M63" i="37" s="1"/>
  <c r="M58" i="37"/>
  <c r="M56" i="37" l="1"/>
  <c r="Y26" i="37"/>
  <c r="U25" i="37"/>
  <c r="H108" i="37" l="1"/>
  <c r="M123" i="37" l="1"/>
  <c r="N119" i="37"/>
  <c r="M119" i="37"/>
  <c r="N118" i="37"/>
  <c r="T134" i="37"/>
  <c r="T133" i="37"/>
  <c r="T132" i="37"/>
  <c r="T131" i="37"/>
  <c r="T130" i="37"/>
  <c r="V129" i="37"/>
  <c r="V126" i="37"/>
  <c r="T125" i="37"/>
  <c r="T124" i="37"/>
  <c r="T123" i="37"/>
  <c r="T122" i="37"/>
  <c r="F120" i="37"/>
  <c r="F119" i="37"/>
  <c r="T118" i="37"/>
  <c r="T117" i="37"/>
  <c r="T116" i="37"/>
  <c r="T115" i="37"/>
  <c r="T114" i="37"/>
  <c r="T110" i="37"/>
  <c r="T109" i="37"/>
  <c r="T108" i="37"/>
  <c r="T107" i="37"/>
  <c r="T106" i="37"/>
  <c r="M99" i="37"/>
  <c r="T102" i="37"/>
  <c r="T101" i="37"/>
  <c r="T100" i="37"/>
  <c r="T99" i="37"/>
  <c r="T98" i="37"/>
  <c r="T97" i="37"/>
  <c r="M93" i="37"/>
  <c r="T96" i="37"/>
  <c r="T95" i="37"/>
  <c r="M91" i="37"/>
  <c r="H92" i="37"/>
  <c r="R93" i="37"/>
  <c r="I88" i="37"/>
  <c r="T91" i="37"/>
  <c r="I91" i="37"/>
  <c r="T90" i="37"/>
  <c r="T89" i="37"/>
  <c r="T88" i="37"/>
  <c r="H130" i="37" l="1"/>
  <c r="M124" i="37"/>
  <c r="F148" i="37"/>
  <c r="F149" i="37"/>
  <c r="X189" i="5" l="1"/>
  <c r="T190" i="5" l="1"/>
  <c r="D11" i="5" l="1"/>
  <c r="L11" i="5" s="1"/>
  <c r="D12" i="5"/>
  <c r="L12" i="5" s="1"/>
  <c r="D13" i="5"/>
  <c r="L13" i="5" s="1"/>
  <c r="D14" i="5"/>
  <c r="L14" i="5" s="1"/>
  <c r="D15" i="5"/>
  <c r="L15" i="5" s="1"/>
  <c r="F118" i="37" s="1"/>
  <c r="D16" i="5"/>
  <c r="L16" i="5" s="1"/>
  <c r="F17" i="5"/>
  <c r="L140" i="37" l="1"/>
  <c r="N10" i="37"/>
  <c r="M70" i="37" s="1"/>
  <c r="D54" i="5"/>
  <c r="C54" i="5" s="1"/>
  <c r="J32" i="5" l="1"/>
  <c r="D37" i="5"/>
  <c r="J37" i="5" s="1"/>
  <c r="D34" i="5"/>
  <c r="J34" i="5" s="1"/>
  <c r="D35" i="5"/>
  <c r="J35" i="5" s="1"/>
  <c r="D36" i="5"/>
  <c r="J36" i="5" s="1"/>
  <c r="D33" i="5"/>
  <c r="J33" i="5" s="1"/>
  <c r="D51" i="5"/>
  <c r="C51" i="5" s="1"/>
  <c r="D52" i="5"/>
  <c r="C52" i="5" s="1"/>
  <c r="N15" i="37" s="1"/>
  <c r="D53" i="5"/>
  <c r="C53" i="5" s="1"/>
  <c r="D50" i="5"/>
  <c r="C50" i="5" s="1"/>
  <c r="L43" i="5"/>
  <c r="D44" i="5"/>
  <c r="L44" i="5" s="1"/>
  <c r="D42" i="5"/>
  <c r="L42" i="5" s="1"/>
  <c r="D41" i="5"/>
  <c r="L41" i="5" s="1"/>
  <c r="F129" i="37" l="1"/>
  <c r="F130" i="37" s="1"/>
  <c r="E86" i="37"/>
  <c r="M72" i="37"/>
  <c r="T189" i="5"/>
  <c r="L10" i="5"/>
  <c r="F57" i="5"/>
  <c r="D59" i="5"/>
  <c r="D60" i="5"/>
  <c r="R72" i="5"/>
  <c r="Q73" i="5"/>
  <c r="R73" i="5"/>
  <c r="Q74" i="5"/>
  <c r="R74" i="5"/>
  <c r="Q75" i="5"/>
  <c r="R75" i="5"/>
  <c r="Q76" i="5"/>
  <c r="R76" i="5"/>
  <c r="Q77" i="5"/>
  <c r="R77" i="5"/>
  <c r="Q78" i="5"/>
  <c r="R78" i="5"/>
  <c r="Q79" i="5"/>
  <c r="R79" i="5"/>
  <c r="F131" i="37" l="1"/>
  <c r="F133" i="37" s="1"/>
  <c r="E88" i="37"/>
  <c r="H88" i="37" s="1"/>
  <c r="M125" i="37"/>
  <c r="H129" i="37"/>
  <c r="G129" i="37" s="1"/>
  <c r="N14" i="37"/>
  <c r="G86" i="37" s="1"/>
  <c r="G87" i="37" s="1"/>
  <c r="E87" i="37" s="1"/>
  <c r="M45" i="37" s="1"/>
  <c r="N88" i="37"/>
  <c r="G88" i="37"/>
  <c r="G90" i="37" s="1"/>
  <c r="N17" i="37" s="1"/>
  <c r="D86" i="37"/>
  <c r="M60" i="37" l="1"/>
  <c r="M53" i="37"/>
  <c r="M121" i="37"/>
  <c r="M120" i="37"/>
  <c r="L88" i="37"/>
  <c r="P88" i="37" s="1"/>
  <c r="M87" i="37"/>
  <c r="N13" i="37"/>
  <c r="I90" i="37"/>
  <c r="I93" i="37" s="1"/>
  <c r="E90" i="37"/>
  <c r="M90" i="37" l="1"/>
  <c r="K88" i="37"/>
  <c r="E93" i="37"/>
  <c r="F121" i="37"/>
  <c r="L94" i="37"/>
  <c r="G94" i="37"/>
  <c r="M96" i="37"/>
  <c r="I97" i="37"/>
  <c r="I94" i="37"/>
  <c r="I99" i="37"/>
  <c r="H123" i="37"/>
  <c r="L95" i="37"/>
  <c r="H124" i="37"/>
  <c r="G121" i="37" l="1"/>
  <c r="F125" i="37"/>
  <c r="F127" i="37" s="1"/>
  <c r="E97" i="37"/>
  <c r="E101" i="37" s="1"/>
  <c r="I100" i="37"/>
  <c r="M97" i="37"/>
  <c r="P94" i="37" s="1"/>
  <c r="M100" i="37" s="1"/>
  <c r="K101" i="37" s="1"/>
  <c r="E105" i="37" l="1"/>
  <c r="H40" i="37"/>
  <c r="G40" i="37" s="1"/>
  <c r="F132" i="37"/>
  <c r="M127" i="37" s="1"/>
  <c r="E113" i="37"/>
  <c r="D65" i="37"/>
  <c r="D62" i="37"/>
  <c r="D55" i="37"/>
  <c r="D60" i="37"/>
  <c r="D51" i="37"/>
  <c r="D53" i="37"/>
  <c r="D66" i="37"/>
  <c r="D61" i="37"/>
  <c r="D59" i="37"/>
  <c r="D58" i="37"/>
  <c r="D52" i="37"/>
  <c r="D64" i="37"/>
  <c r="D54" i="37"/>
  <c r="E40" i="37"/>
  <c r="G101" i="37"/>
  <c r="I40" i="37" s="1"/>
  <c r="D70" i="37"/>
  <c r="D49" i="37" s="1"/>
  <c r="N100" i="37"/>
  <c r="E104" i="37"/>
  <c r="L134" i="37" l="1"/>
  <c r="M149" i="37"/>
  <c r="M148" i="37"/>
  <c r="L130" i="37"/>
  <c r="L132" i="37"/>
  <c r="N132" i="37" s="1"/>
  <c r="M150" i="37"/>
  <c r="L136" i="37"/>
  <c r="N136" i="37" s="1"/>
  <c r="N127" i="37"/>
  <c r="F40" i="37"/>
  <c r="M103" i="37"/>
  <c r="M104" i="37"/>
  <c r="L42" i="37"/>
  <c r="N144" i="37" l="1"/>
  <c r="K40" i="37"/>
  <c r="J40" i="37" s="1"/>
  <c r="AB145" i="37"/>
  <c r="N40" i="37"/>
  <c r="M40" i="37" s="1"/>
  <c r="N134" i="37"/>
  <c r="N130" i="37"/>
  <c r="L40" i="37" s="1"/>
  <c r="E43" i="37"/>
  <c r="F43" i="37" s="1"/>
  <c r="D43" i="37" l="1"/>
  <c r="H43" i="37"/>
  <c r="M74" i="37" l="1"/>
  <c r="N49" i="37" s="1"/>
  <c r="I43" i="37"/>
  <c r="G43" i="37"/>
  <c r="L43" i="37" l="1"/>
  <c r="H139" i="37" l="1"/>
  <c r="L53" i="37" l="1"/>
  <c r="L60" i="37"/>
  <c r="F90" i="37"/>
  <c r="F87" i="37"/>
  <c r="F140" i="37"/>
  <c r="F101" i="37" l="1"/>
  <c r="F105" i="37" l="1"/>
  <c r="H101" i="37"/>
  <c r="F104" i="37"/>
  <c r="F102" i="37"/>
  <c r="E103" i="37" s="1"/>
  <c r="E106" i="37" s="1"/>
  <c r="H41" i="37" l="1"/>
  <c r="H102" i="37"/>
  <c r="I41" i="37" s="1"/>
  <c r="G61" i="37" l="1"/>
  <c r="D111" i="37"/>
  <c r="G71" i="37" s="1"/>
  <c r="H49" i="37" s="1"/>
  <c r="G56" i="37"/>
  <c r="G58" i="37"/>
  <c r="G63" i="37"/>
  <c r="G59" i="37"/>
  <c r="D103" i="37"/>
  <c r="G65" i="37"/>
  <c r="I67" i="37" s="1"/>
  <c r="G64" i="37"/>
  <c r="G52" i="37"/>
  <c r="G54" i="37"/>
  <c r="G103" i="37"/>
  <c r="G51" i="37"/>
  <c r="H60" i="37" l="1"/>
  <c r="I60" i="37" s="1"/>
  <c r="H66" i="37"/>
  <c r="H53" i="37"/>
  <c r="I53" i="37" s="1"/>
  <c r="L8" i="5"/>
  <c r="L9" i="5"/>
  <c r="L7" i="5"/>
  <c r="P160" i="37" l="1"/>
  <c r="J160" i="37" l="1"/>
  <c r="I159" i="37" l="1"/>
  <c r="J159" i="37" s="1"/>
  <c r="P159" i="37" s="1"/>
  <c r="I160" i="37"/>
  <c r="I158" i="37" l="1"/>
  <c r="J158" i="37" s="1"/>
  <c r="J163" i="37" l="1"/>
  <c r="F142" i="37" s="1"/>
  <c r="P158" i="37"/>
  <c r="P163" i="37" s="1"/>
  <c r="F150" i="37" l="1"/>
  <c r="N42" i="37" s="1"/>
  <c r="F151" i="37"/>
  <c r="F152" i="37" l="1"/>
  <c r="M130" i="37" l="1"/>
  <c r="K41" i="37" s="1"/>
  <c r="M134" i="37"/>
  <c r="G152" i="37"/>
  <c r="M136" i="37"/>
  <c r="M132" i="37"/>
  <c r="L137" i="37" l="1"/>
  <c r="Q136" i="37"/>
  <c r="P132" i="37"/>
  <c r="L133" i="37"/>
  <c r="N133" i="37" s="1"/>
  <c r="Q134" i="37"/>
  <c r="L135" i="37"/>
  <c r="N41" i="37"/>
  <c r="M41" i="37" s="1"/>
  <c r="AB147" i="37"/>
  <c r="P130" i="37"/>
  <c r="L41" i="37" s="1"/>
  <c r="L131" i="37"/>
  <c r="N145" i="37"/>
  <c r="L45" i="37" s="1"/>
  <c r="J68" i="37" s="1"/>
  <c r="N135" i="37" l="1"/>
  <c r="J50" i="37"/>
  <c r="J54" i="37"/>
  <c r="J56" i="37" s="1"/>
  <c r="J51" i="37"/>
  <c r="J64" i="37"/>
  <c r="L139" i="37"/>
  <c r="J74" i="37" s="1"/>
  <c r="K49" i="37" s="1"/>
  <c r="N131" i="37"/>
  <c r="N137" i="37"/>
  <c r="J59" i="37"/>
  <c r="J61" i="37"/>
  <c r="J62" i="37" s="1"/>
  <c r="J58" i="37"/>
  <c r="J67" i="37" l="1"/>
  <c r="J66" i="37"/>
  <c r="J6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Arild</author>
    <author>Arild Palmstrøm</author>
  </authors>
  <commentList>
    <comment ref="M10" authorId="0" shapeId="0" xr:uid="{6127708E-F391-4A3F-BAA9-4DA6E4634442}">
      <text>
        <r>
          <rPr>
            <sz val="7"/>
            <color indexed="81"/>
            <rFont val="Tahoma"/>
            <family val="2"/>
          </rPr>
          <t>a &lt; 1 MPa
b = 1 - 5 MPa
c = 5 - 25 MPa
d = 25 - 50 MPa
e = 50 - 75 MPa
f = 75 - 100 MPa
g = 100 - 150 MPa
h = 150 - 250 MPa
i  &gt; 250 MPa</t>
        </r>
      </text>
    </comment>
    <comment ref="M11" authorId="0" shapeId="0" xr:uid="{29BEDDFA-60E5-4038-9C1C-71D8ADBAE6EC}">
      <text>
        <r>
          <rPr>
            <sz val="7"/>
            <color indexed="81"/>
            <rFont val="Tahoma"/>
            <family val="2"/>
          </rPr>
          <t>Input of DJ is required to start the computer calculations of jointed rockmasses.
More accurate inputs of RQD, Vb or Jv may be given (in addition to the DJ input)</t>
        </r>
      </text>
    </comment>
    <comment ref="M13" authorId="0" shapeId="0" xr:uid="{390FE708-C14E-4F61-894F-0A9A0A603A7A}">
      <text>
        <r>
          <rPr>
            <sz val="7"/>
            <color indexed="81"/>
            <rFont val="Calibri"/>
            <family val="2"/>
            <scheme val="minor"/>
          </rPr>
          <t>Fill in for more accurate input of DJ                        (RQD is used in the RMR- and the Q-systems)</t>
        </r>
      </text>
    </comment>
    <comment ref="M14" authorId="0" shapeId="0" xr:uid="{D77EBE4E-32A2-41C7-A1C3-C0B11B1E8D63}">
      <text>
        <r>
          <rPr>
            <sz val="7"/>
            <color indexed="81"/>
            <rFont val="Calibri"/>
            <family val="2"/>
            <scheme val="minor"/>
          </rPr>
          <t>Fill in for more accurate input of DJ                   (Vb is used in the RMi-system)</t>
        </r>
      </text>
    </comment>
    <comment ref="M15" authorId="0" shapeId="0" xr:uid="{9B3BC687-06B2-4275-BCE4-053C68B8C6BF}">
      <text>
        <r>
          <rPr>
            <sz val="7"/>
            <color indexed="81"/>
            <rFont val="Calibri"/>
            <family val="2"/>
            <scheme val="minor"/>
          </rPr>
          <t>Jv can be used for more accurate input of DJ       (Vb and/or RQD is calculated from Jv)</t>
        </r>
      </text>
    </comment>
    <comment ref="M16" authorId="0" shapeId="0" xr:uid="{E72CAB74-1BC3-444E-AA82-C85C7A57E35B}">
      <text>
        <r>
          <rPr>
            <sz val="7"/>
            <color indexed="81"/>
            <rFont val="Tahoma"/>
            <family val="2"/>
          </rPr>
          <t>a  = cubical blocks
b = slightly long and/or flat blocks
c = moderately long and/or flat blocks
d = very long and/or flat blocks
e  = extremely long and/or flat blocks</t>
        </r>
      </text>
    </comment>
    <comment ref="M17" authorId="0" shapeId="0" xr:uid="{C1D81241-8DFE-4F33-88DA-2C06D632BBED}">
      <text>
        <r>
          <rPr>
            <sz val="7"/>
            <color indexed="81"/>
            <rFont val="Tahoma"/>
            <family val="2"/>
          </rPr>
          <t>a = random joints only
b = 1 joint set
c = 1 joint set + random joints
d = 2 joint sets
e = 2 joint sets + random joints
f = 3 joint sets
g = 3 joint sets + random joints
h = 4 joint sets
 i = crushed</t>
        </r>
      </text>
    </comment>
    <comment ref="M18" authorId="0" shapeId="0" xr:uid="{B94F7946-2BDF-4ACC-844D-AD3D87973884}">
      <text>
        <r>
          <rPr>
            <sz val="7"/>
            <color indexed="81"/>
            <rFont val="Tahoma"/>
            <family val="2"/>
          </rPr>
          <t>a = very favourable
b = favourable
c = fair
d = unfavourable
e = very unfavourable</t>
        </r>
      </text>
    </comment>
    <comment ref="M19" authorId="0" shapeId="0" xr:uid="{11E3D571-7CD2-48CF-8845-9C638CFAAC85}">
      <text>
        <r>
          <rPr>
            <sz val="7"/>
            <color indexed="81"/>
            <rFont val="Tahoma"/>
            <family val="2"/>
          </rPr>
          <t>a = very favourable
b = favourable
c = fair
d = unfavourable
e = very unfavourable</t>
        </r>
      </text>
    </comment>
    <comment ref="M20" authorId="0" shapeId="0" xr:uid="{87D1E741-458A-4EA9-9370-A10FF71E9EC2}">
      <text>
        <r>
          <rPr>
            <sz val="7"/>
            <color indexed="81"/>
            <rFont val="Tahoma"/>
            <family val="2"/>
          </rPr>
          <t>a = very rough joint surface
b = rough
c = slightly rough
d = smooth
e = polished
g = filled joint (seam)</t>
        </r>
      </text>
    </comment>
    <comment ref="M21" authorId="0" shapeId="0" xr:uid="{284DD54D-8782-4833-AA2B-EECD3E20A786}">
      <text>
        <r>
          <rPr>
            <sz val="7"/>
            <color indexed="81"/>
            <rFont val="Tahoma"/>
            <family val="2"/>
          </rPr>
          <t>a = discontinuous joint
b = strongly undulating (wavy)
c = moderately undulating
d = slightly undulating
e = planar joint
f = filled joint (seam)</t>
        </r>
      </text>
    </comment>
    <comment ref="M22" authorId="0" shapeId="0" xr:uid="{2A3D33CB-AC54-409F-865D-7F26FBFC8F3E}">
      <text>
        <r>
          <rPr>
            <sz val="7"/>
            <color indexed="81"/>
            <rFont val="Tahoma"/>
            <family val="2"/>
          </rPr>
          <t>a = healed joint
b = fresh joint
c = slightly weathered joint
d = weathered joint
e = sand/silt coating
 f = clay/chlorite coating</t>
        </r>
      </text>
    </comment>
    <comment ref="M23" authorId="0" shapeId="0" xr:uid="{91674B95-E9B7-41D4-A3DA-30150A7FC553}">
      <text>
        <r>
          <rPr>
            <u/>
            <sz val="7"/>
            <color indexed="81"/>
            <rFont val="Tahoma"/>
            <family val="2"/>
          </rPr>
          <t>Fill thickness &lt; 5 mm:</t>
        </r>
        <r>
          <rPr>
            <sz val="7"/>
            <color indexed="81"/>
            <rFont val="Tahoma"/>
            <family val="2"/>
          </rPr>
          <t xml:space="preserve">
h = sand/silt filling
 j = hard clay
 l = soft clay
n = weak materials
p = swelling clay
</t>
        </r>
        <r>
          <rPr>
            <u/>
            <sz val="7"/>
            <color indexed="81"/>
            <rFont val="Tahoma"/>
            <family val="2"/>
          </rPr>
          <t>Fill thickness &gt; 5 mm:</t>
        </r>
        <r>
          <rPr>
            <sz val="7"/>
            <color indexed="81"/>
            <rFont val="Tahoma"/>
            <family val="2"/>
          </rPr>
          <t xml:space="preserve">
 i = sand/silt filling
k = hard clay
m = soft clay
o = weak materials
q = swelling clay</t>
        </r>
      </text>
    </comment>
    <comment ref="M24" authorId="0" shapeId="0" xr:uid="{AF8E323D-A54E-4CC6-BF1D-F8B8EAC5DD28}">
      <text>
        <r>
          <rPr>
            <sz val="7"/>
            <color indexed="81"/>
            <rFont val="Tahoma"/>
            <family val="2"/>
          </rPr>
          <t>a = crack
b = fissure/parting
c = very short joint
d = short joint (1 - 3 m)
e = medium joint (3 - 10 m)
f = long joint
g = seam (filled joint)</t>
        </r>
      </text>
    </comment>
    <comment ref="M25" authorId="0" shapeId="0" xr:uid="{05B3ACD8-5530-4CC1-BDE7-77ADD4ABB807}">
      <text>
        <r>
          <rPr>
            <sz val="7"/>
            <color indexed="81"/>
            <rFont val="Tahoma"/>
            <family val="2"/>
          </rPr>
          <t>a = none
b = &lt; 0.1 mm thickness
c = 0.1 - 1 mm
d = 1 - 5 mm
e = 5 - 25 mm</t>
        </r>
      </text>
    </comment>
    <comment ref="M26" authorId="0" shapeId="0" xr:uid="{0A2B7CA8-48B5-47C1-A93F-E6A855C5C7A9}">
      <text>
        <r>
          <rPr>
            <sz val="7"/>
            <color indexed="81"/>
            <rFont val="Tahoma"/>
            <family val="2"/>
          </rPr>
          <t>a = dry / above GW level
b = damp
c = wet 
d = dripping
e = gushing
f = flowing, decaying
g = heavily flowing</t>
        </r>
      </text>
    </comment>
    <comment ref="M27" authorId="0" shapeId="0" xr:uid="{8FA615B3-7F2A-4D7B-BF6E-DEDDDA8FAF69}">
      <text>
        <r>
          <rPr>
            <sz val="7"/>
            <color indexed="81"/>
            <rFont val="Tahoma"/>
            <family val="2"/>
          </rPr>
          <t>a = near/at terrain surface
b = low stress, including
      poor interlocking
c = moderate stress
d = high stress
e = mild burst
f = moderate burst
g = heavy burst
h = mild squeezing
 i = high squeezing</t>
        </r>
      </text>
    </comment>
    <comment ref="M28" authorId="0" shapeId="0" xr:uid="{04494533-1BEB-4020-88F9-4BC30259FBE9}">
      <text>
        <r>
          <rPr>
            <sz val="7"/>
            <color indexed="81"/>
            <rFont val="Tahoma"/>
            <family val="2"/>
          </rPr>
          <t>Input of SRFz is required for the calculations of weakness zone</t>
        </r>
        <r>
          <rPr>
            <sz val="9"/>
            <color indexed="81"/>
            <rFont val="Tahoma"/>
            <family val="2"/>
          </rPr>
          <t xml:space="preserve">
</t>
        </r>
      </text>
    </comment>
    <comment ref="M30" authorId="0" shapeId="0" xr:uid="{5CF1A396-4295-40BC-9429-85AA1351BADE}">
      <text>
        <r>
          <rPr>
            <sz val="7"/>
            <color indexed="81"/>
            <rFont val="Tahoma"/>
            <family val="2"/>
          </rPr>
          <t>Use value (See Table A in the 'Parameter tables' sheet)</t>
        </r>
      </text>
    </comment>
    <comment ref="M31" authorId="0" shapeId="0" xr:uid="{33CB3B83-1A41-479C-85AB-1210B1CADDBB}">
      <text>
        <r>
          <rPr>
            <sz val="7"/>
            <color indexed="81"/>
            <rFont val="Tahoma"/>
            <family val="2"/>
          </rPr>
          <t>The thickness of the zone may be difficult to measure. If possible, fill in assumed thickness (in m)</t>
        </r>
      </text>
    </comment>
    <comment ref="M32" authorId="0" shapeId="0" xr:uid="{A56871DD-5622-42BA-9A47-0ED6654203C2}">
      <text>
        <r>
          <rPr>
            <sz val="7"/>
            <color indexed="81"/>
            <rFont val="Tahoma"/>
            <family val="2"/>
          </rPr>
          <t>If possible, you may fill in the average size (in dm3) of the fragments in the zone</t>
        </r>
        <r>
          <rPr>
            <sz val="9"/>
            <color indexed="81"/>
            <rFont val="Tahoma"/>
            <family val="2"/>
          </rPr>
          <t xml:space="preserve">
</t>
        </r>
      </text>
    </comment>
    <comment ref="M33" authorId="0" shapeId="0" xr:uid="{402A31E9-89B9-49BA-9613-4769792A2BA9}">
      <text>
        <r>
          <rPr>
            <sz val="7"/>
            <color indexed="81"/>
            <rFont val="Tahoma"/>
            <family val="2"/>
          </rPr>
          <t>a = very favourable
b = favourable
c = fair
d = unfavourable
e = very unfavourable</t>
        </r>
      </text>
    </comment>
    <comment ref="M34" authorId="0" shapeId="0" xr:uid="{0D9CCEDF-DFE5-48E0-9439-4F0E7FBE9D0D}">
      <text>
        <r>
          <rPr>
            <sz val="7"/>
            <color indexed="81"/>
            <rFont val="Tahoma"/>
            <family val="2"/>
          </rPr>
          <t>a = very favourable
b = favourable
c = fair
d = unfavourable
e = very unfavourable</t>
        </r>
      </text>
    </comment>
    <comment ref="M35" authorId="0" shapeId="0" xr:uid="{9174B978-FB3B-41D4-B57F-2758538DE968}">
      <text>
        <r>
          <rPr>
            <sz val="7"/>
            <color indexed="81"/>
            <rFont val="Tahoma"/>
            <family val="2"/>
          </rPr>
          <t xml:space="preserve"> a = mainly fresh joints
 b = slightly altered joint wall
 c = altered joint walls
 d = clay coated joints
 e = sandy joint filling
 f = clayey joint filling
 g = swelling clay joint filling</t>
        </r>
      </text>
    </comment>
    <comment ref="M36" authorId="0" shapeId="0" xr:uid="{3A4BD39E-5ED2-4020-82E0-772F26CD8018}">
      <text>
        <r>
          <rPr>
            <sz val="7"/>
            <color indexed="81"/>
            <rFont val="Tahoma"/>
            <family val="2"/>
          </rPr>
          <t>a = dry/above GWL
b = damp
c = wet
d = dripping
e = gushing
f = flowing
g = water inburst</t>
        </r>
      </text>
    </comment>
    <comment ref="M37" authorId="1" shapeId="0" xr:uid="{1FE9259A-C53A-41AE-81A5-F10DE0060C01}">
      <text>
        <r>
          <rPr>
            <sz val="7"/>
            <color indexed="81"/>
            <rFont val="Tahoma"/>
            <family val="2"/>
          </rPr>
          <t>a = good/tight
b = open structure
c = poor/loose structure</t>
        </r>
      </text>
    </comment>
  </commentList>
</comments>
</file>

<file path=xl/sharedStrings.xml><?xml version="1.0" encoding="utf-8"?>
<sst xmlns="http://schemas.openxmlformats.org/spreadsheetml/2006/main" count="1775" uniqueCount="1211">
  <si>
    <t>Q</t>
  </si>
  <si>
    <t>RMi</t>
  </si>
  <si>
    <t>C1</t>
  </si>
  <si>
    <t>C2</t>
  </si>
  <si>
    <t>B1</t>
  </si>
  <si>
    <t>B2</t>
  </si>
  <si>
    <t>B3</t>
  </si>
  <si>
    <t>D1</t>
  </si>
  <si>
    <t>D2</t>
  </si>
  <si>
    <t>D3</t>
  </si>
  <si>
    <t>Block volume  (Vb)</t>
  </si>
  <si>
    <t>Number of joint sets</t>
  </si>
  <si>
    <t>Correlations of the input parameters to Q, RMR and RMi</t>
  </si>
  <si>
    <t>A1 =</t>
  </si>
  <si>
    <t>a</t>
  </si>
  <si>
    <t>b</t>
  </si>
  <si>
    <t>Rock</t>
  </si>
  <si>
    <t>Very low strength</t>
  </si>
  <si>
    <t>c</t>
  </si>
  <si>
    <t>Low strength</t>
  </si>
  <si>
    <t>d</t>
  </si>
  <si>
    <t>Moderate strength</t>
  </si>
  <si>
    <t>e</t>
  </si>
  <si>
    <t>Medium strength</t>
  </si>
  <si>
    <t>f</t>
  </si>
  <si>
    <t>High strength</t>
  </si>
  <si>
    <t>g</t>
  </si>
  <si>
    <t>Very high strength</t>
  </si>
  <si>
    <t>DEGREE OF JOINTING</t>
  </si>
  <si>
    <t>A2 =</t>
  </si>
  <si>
    <t>RQD =</t>
  </si>
  <si>
    <t>Fair</t>
  </si>
  <si>
    <t>Poor</t>
  </si>
  <si>
    <t>Very poor</t>
  </si>
  <si>
    <t>A3 =</t>
  </si>
  <si>
    <t>Very large spacing</t>
  </si>
  <si>
    <t>Large spacing</t>
  </si>
  <si>
    <t>Moderate spacing</t>
  </si>
  <si>
    <t>Small spacing</t>
  </si>
  <si>
    <t>Very small spacing</t>
  </si>
  <si>
    <t>Jn =</t>
  </si>
  <si>
    <t>Nj =</t>
  </si>
  <si>
    <t>No or few joints</t>
  </si>
  <si>
    <t>1  joint set</t>
  </si>
  <si>
    <t>1  joint set + random joints</t>
  </si>
  <si>
    <t>2  joint sets</t>
  </si>
  <si>
    <t>2  joint sets + random joints</t>
  </si>
  <si>
    <t>3  joint sets</t>
  </si>
  <si>
    <t>3  joint sets + random joints</t>
  </si>
  <si>
    <t>h</t>
  </si>
  <si>
    <r>
      <t xml:space="preserve">4  joint sets or more; </t>
    </r>
    <r>
      <rPr>
        <sz val="7"/>
        <color indexed="8"/>
        <rFont val="Arial"/>
        <family val="2"/>
      </rPr>
      <t>heavily jointed</t>
    </r>
  </si>
  <si>
    <t>i</t>
  </si>
  <si>
    <t>Crushed, earth-like</t>
  </si>
  <si>
    <t>-</t>
  </si>
  <si>
    <t>JOINT CHARACTERISTICS</t>
  </si>
  <si>
    <t>A4c =</t>
  </si>
  <si>
    <t>(js =)</t>
  </si>
  <si>
    <t>js =</t>
  </si>
  <si>
    <t>Rough or irregular</t>
  </si>
  <si>
    <t>Slightly rough</t>
  </si>
  <si>
    <t>Smooth</t>
  </si>
  <si>
    <t>Polished</t>
  </si>
  <si>
    <t>Slickensided</t>
  </si>
  <si>
    <t>(jw =)</t>
  </si>
  <si>
    <t>jw =</t>
  </si>
  <si>
    <t>Strongly undulating</t>
  </si>
  <si>
    <t>Moderately undulating</t>
  </si>
  <si>
    <t>Slightly undulating</t>
  </si>
  <si>
    <t>Planar</t>
  </si>
  <si>
    <t>A4e =</t>
  </si>
  <si>
    <t>Ja =</t>
  </si>
  <si>
    <t>jA =</t>
  </si>
  <si>
    <t>Healed or welded joints</t>
  </si>
  <si>
    <t>A4d =</t>
  </si>
  <si>
    <t xml:space="preserve"> -</t>
  </si>
  <si>
    <t>A4a =</t>
  </si>
  <si>
    <t>jL =</t>
  </si>
  <si>
    <t>Parting (very short, thin joint)</t>
  </si>
  <si>
    <t>Very short joint</t>
  </si>
  <si>
    <t>Short joint</t>
  </si>
  <si>
    <t>Medium joint</t>
  </si>
  <si>
    <t>Long joint</t>
  </si>
  <si>
    <t>A4b =</t>
  </si>
  <si>
    <t>Very tight</t>
  </si>
  <si>
    <t>A &lt; 0.1mm</t>
  </si>
  <si>
    <t>Tight</t>
  </si>
  <si>
    <t>Very open</t>
  </si>
  <si>
    <t>B =</t>
  </si>
  <si>
    <t>Co =</t>
  </si>
  <si>
    <t>Very favourable</t>
  </si>
  <si>
    <t>Favourable</t>
  </si>
  <si>
    <t>Unfavourable</t>
  </si>
  <si>
    <t>Very unfavourable</t>
  </si>
  <si>
    <t>GROUND WATER</t>
  </si>
  <si>
    <t>A5 =</t>
  </si>
  <si>
    <t>Jw =</t>
  </si>
  <si>
    <t>GW =</t>
  </si>
  <si>
    <t>Wet</t>
  </si>
  <si>
    <t>Dripping</t>
  </si>
  <si>
    <t>SL =</t>
  </si>
  <si>
    <t>Heavy rock burst</t>
  </si>
  <si>
    <t>Mild squeezing</t>
  </si>
  <si>
    <t>Heavy squeezing</t>
  </si>
  <si>
    <t>RQD</t>
  </si>
  <si>
    <t>RMR system</t>
  </si>
  <si>
    <t>Parameter</t>
  </si>
  <si>
    <t>Value</t>
  </si>
  <si>
    <t>Rating</t>
  </si>
  <si>
    <t>RMR =</t>
  </si>
  <si>
    <t>Q =</t>
  </si>
  <si>
    <t>Qc =</t>
  </si>
  <si>
    <t>Vb =</t>
  </si>
  <si>
    <t>RMi =</t>
  </si>
  <si>
    <t>roof</t>
  </si>
  <si>
    <t>wall</t>
  </si>
  <si>
    <t>Tz &gt; Dt?</t>
  </si>
  <si>
    <t>Tz &gt; Wt?</t>
  </si>
  <si>
    <t>m</t>
  </si>
  <si>
    <t>Stress level</t>
  </si>
  <si>
    <t>Joint orientation</t>
  </si>
  <si>
    <t>Water</t>
  </si>
  <si>
    <t>F</t>
  </si>
  <si>
    <t>Stress reduction factor</t>
  </si>
  <si>
    <t>Joint alteration factor</t>
  </si>
  <si>
    <t>Joint roughness factor</t>
  </si>
  <si>
    <t>Joint water factor</t>
  </si>
  <si>
    <t xml:space="preserve"> - </t>
  </si>
  <si>
    <t>Size ratio</t>
  </si>
  <si>
    <t>Ground water</t>
  </si>
  <si>
    <t>Tz =</t>
  </si>
  <si>
    <t>Zone orientation</t>
  </si>
  <si>
    <t>Rock strength</t>
  </si>
  <si>
    <t>Tunnel data</t>
  </si>
  <si>
    <t>Q value</t>
  </si>
  <si>
    <t>Dt =</t>
  </si>
  <si>
    <t>Wt =</t>
  </si>
  <si>
    <t>Span =</t>
  </si>
  <si>
    <t>Gc =</t>
  </si>
  <si>
    <t>Classification of RMi</t>
  </si>
  <si>
    <t xml:space="preserve"> TERM</t>
  </si>
  <si>
    <t>all strikes</t>
  </si>
  <si>
    <t>0.5 - 2</t>
  </si>
  <si>
    <t>50 - 200</t>
  </si>
  <si>
    <t>200 - 400</t>
  </si>
  <si>
    <t xml:space="preserve"> 5 - 50</t>
  </si>
  <si>
    <t xml:space="preserve"> 5 - 10</t>
  </si>
  <si>
    <t xml:space="preserve"> 10 - 20</t>
  </si>
  <si>
    <t>Very high</t>
  </si>
  <si>
    <t>Low</t>
  </si>
  <si>
    <t>&gt;</t>
  </si>
  <si>
    <t>&lt;</t>
  </si>
  <si>
    <t>Medium stress level</t>
  </si>
  <si>
    <t>High stress level</t>
  </si>
  <si>
    <t>5 - 10</t>
  </si>
  <si>
    <t xml:space="preserve"> 8 - 12</t>
  </si>
  <si>
    <t xml:space="preserve"> 13 - 20</t>
  </si>
  <si>
    <t>8</t>
  </si>
  <si>
    <t>Classification of  RMR</t>
  </si>
  <si>
    <t>Classification of  Q</t>
  </si>
  <si>
    <t>Zone width vs. tunnel size</t>
  </si>
  <si>
    <t>A</t>
  </si>
  <si>
    <t>B</t>
  </si>
  <si>
    <t>C</t>
  </si>
  <si>
    <t>D</t>
  </si>
  <si>
    <t>E</t>
  </si>
  <si>
    <t>G</t>
  </si>
  <si>
    <t>JOINTING PATTERN</t>
  </si>
  <si>
    <t>Classification of Size ratio (Sr)</t>
  </si>
  <si>
    <t>Sr =</t>
  </si>
  <si>
    <t>fair</t>
  </si>
  <si>
    <t>t &lt; 5mm</t>
  </si>
  <si>
    <t>t &gt; 5mm</t>
  </si>
  <si>
    <t>&lt; 5mm</t>
  </si>
  <si>
    <t xml:space="preserve"> &gt; 5mm</t>
  </si>
  <si>
    <t>Classification of ground condition factor  (Gc)</t>
  </si>
  <si>
    <t>h // i</t>
  </si>
  <si>
    <t>j // k</t>
  </si>
  <si>
    <t>l // m</t>
  </si>
  <si>
    <t>n // o</t>
  </si>
  <si>
    <t>(t = joint thickness)</t>
  </si>
  <si>
    <r>
      <t>Q</t>
    </r>
    <r>
      <rPr>
        <vertAlign val="superscript"/>
        <sz val="8"/>
        <rFont val="Arial"/>
        <family val="2"/>
      </rPr>
      <t>1)</t>
    </r>
  </si>
  <si>
    <t>Joint length</t>
  </si>
  <si>
    <t>Overstressing in deformable rock mass</t>
  </si>
  <si>
    <t>Rock quality designation  (RQD)</t>
  </si>
  <si>
    <t>D4</t>
  </si>
  <si>
    <t>D5</t>
  </si>
  <si>
    <t>Joint alteration or weathering</t>
  </si>
  <si>
    <t>For RMi:</t>
  </si>
  <si>
    <t>G1</t>
  </si>
  <si>
    <t>G2</t>
  </si>
  <si>
    <t>ROCK STRESSES (stresses around tunnel)</t>
  </si>
  <si>
    <t>Overstressing; stresses exceed rockmass strength</t>
  </si>
  <si>
    <t>Stress level; stresses below rockmass strength</t>
  </si>
  <si>
    <t>Discontinuous joints</t>
  </si>
  <si>
    <t>Type of weakness zone</t>
  </si>
  <si>
    <t>Wall height =</t>
  </si>
  <si>
    <t>in roof</t>
  </si>
  <si>
    <r>
      <t xml:space="preserve">SL </t>
    </r>
    <r>
      <rPr>
        <sz val="7"/>
        <rFont val="Arial"/>
        <family val="2"/>
      </rPr>
      <t>=</t>
    </r>
  </si>
  <si>
    <t>Range of Ja and jA given in the Q and in the RMi systems</t>
  </si>
  <si>
    <t>Gc</t>
  </si>
  <si>
    <r>
      <rPr>
        <i/>
        <vertAlign val="superscript"/>
        <sz val="7"/>
        <color indexed="8"/>
        <rFont val="Arial"/>
        <family val="2"/>
      </rPr>
      <t xml:space="preserve"> 1)</t>
    </r>
    <r>
      <rPr>
        <i/>
        <sz val="7"/>
        <color indexed="8"/>
        <rFont val="Arial"/>
        <family val="2"/>
      </rPr>
      <t xml:space="preserve"> Jr is found from:  js x jw</t>
    </r>
  </si>
  <si>
    <t>Tight structure</t>
  </si>
  <si>
    <t>IL =</t>
  </si>
  <si>
    <t>H1</t>
  </si>
  <si>
    <t>H2</t>
  </si>
  <si>
    <r>
      <t>1)</t>
    </r>
    <r>
      <rPr>
        <i/>
        <sz val="7"/>
        <rFont val="Arial"/>
        <family val="2"/>
      </rPr>
      <t xml:space="preserve"> Where more than one joint set occurs, the rating for the smallest spacing should be applied</t>
    </r>
  </si>
  <si>
    <t>wall      contact *)</t>
  </si>
  <si>
    <t>no wall contact **)</t>
  </si>
  <si>
    <t>Poorly interlocked</t>
  </si>
  <si>
    <t>None</t>
  </si>
  <si>
    <t>Broken with angular and rounded blocks</t>
  </si>
  <si>
    <t>when the ground water has minor influence on stability</t>
  </si>
  <si>
    <t>when the ground water has some influence on stability</t>
  </si>
  <si>
    <t>when the ground water has significant influence on stability</t>
  </si>
  <si>
    <r>
      <t>p</t>
    </r>
    <r>
      <rPr>
        <vertAlign val="subscript"/>
        <sz val="7"/>
        <rFont val="Arial"/>
        <family val="2"/>
      </rPr>
      <t>w</t>
    </r>
    <r>
      <rPr>
        <sz val="7"/>
        <rFont val="Arial"/>
        <family val="2"/>
      </rPr>
      <t xml:space="preserve"> &lt; 1 kg/cm²</t>
    </r>
  </si>
  <si>
    <r>
      <t>p</t>
    </r>
    <r>
      <rPr>
        <vertAlign val="subscript"/>
        <sz val="7"/>
        <rFont val="Arial"/>
        <family val="2"/>
      </rPr>
      <t>w</t>
    </r>
    <r>
      <rPr>
        <sz val="7"/>
        <rFont val="Arial"/>
        <family val="2"/>
      </rPr>
      <t xml:space="preserve"> &gt; 10 kg/cm²</t>
    </r>
  </si>
  <si>
    <t>Undisturbed rock mass with some joint sets</t>
  </si>
  <si>
    <t>Folded / faulted with angular blocks</t>
  </si>
  <si>
    <t>Disturbed / open</t>
  </si>
  <si>
    <t>Not included</t>
  </si>
  <si>
    <t>Weakness zones and shears are not explicitly included in RMR</t>
  </si>
  <si>
    <t>Input rating of RQD (A2) to RMR is automatically calculated from input or calculation of RQD</t>
  </si>
  <si>
    <t>A crude value of RQD may be found from RQD = 110-4.5Jv (Jv is the volumetric joint count)</t>
  </si>
  <si>
    <t>Joint sets</t>
  </si>
  <si>
    <t>C3, C4</t>
  </si>
  <si>
    <r>
      <rPr>
        <sz val="7"/>
        <rFont val="Symbol"/>
        <family val="1"/>
        <charset val="2"/>
      </rPr>
      <t>b</t>
    </r>
    <r>
      <rPr>
        <vertAlign val="subscript"/>
        <sz val="7"/>
        <rFont val="Arial"/>
        <family val="2"/>
      </rPr>
      <t>used</t>
    </r>
    <r>
      <rPr>
        <sz val="7"/>
        <rFont val="Arial"/>
        <family val="2"/>
      </rPr>
      <t xml:space="preserve"> =</t>
    </r>
  </si>
  <si>
    <t>Ratio  largest side/smallest side</t>
  </si>
  <si>
    <r>
      <t>Cg = RMi /</t>
    </r>
    <r>
      <rPr>
        <sz val="7"/>
        <rFont val="Symbol"/>
        <family val="1"/>
        <charset val="2"/>
      </rPr>
      <t>s</t>
    </r>
    <r>
      <rPr>
        <vertAlign val="subscript"/>
        <sz val="7"/>
        <rFont val="Symbol"/>
        <family val="1"/>
        <charset val="2"/>
      </rPr>
      <t>q</t>
    </r>
    <r>
      <rPr>
        <sz val="7"/>
        <rFont val="Cambria"/>
        <family val="1"/>
      </rPr>
      <t xml:space="preserve"> ≈</t>
    </r>
  </si>
  <si>
    <t xml:space="preserve">Moderate slabbing </t>
  </si>
  <si>
    <t>after &gt;1 hr</t>
  </si>
  <si>
    <t xml:space="preserve">Slabbing and rock burst </t>
  </si>
  <si>
    <t>after few minutes</t>
  </si>
  <si>
    <t>In ROOF</t>
  </si>
  <si>
    <t>Input rating of UCS (A1) to RMR is automatically calculated from the UCS value given</t>
  </si>
  <si>
    <t>BLOCK VOLUME (Vb) in  m³</t>
  </si>
  <si>
    <t>1 - 2.5</t>
  </si>
  <si>
    <r>
      <t xml:space="preserve">Vb may be calculated from Vb = </t>
    </r>
    <r>
      <rPr>
        <i/>
        <sz val="7"/>
        <color indexed="8"/>
        <rFont val="Symbol"/>
        <family val="1"/>
        <charset val="2"/>
      </rPr>
      <t>b</t>
    </r>
    <r>
      <rPr>
        <i/>
        <sz val="7"/>
        <color indexed="8"/>
        <rFont val="Arial"/>
        <family val="2"/>
      </rPr>
      <t>*Jv</t>
    </r>
    <r>
      <rPr>
        <i/>
        <vertAlign val="superscript"/>
        <sz val="7"/>
        <color indexed="8"/>
        <rFont val="Arial"/>
        <family val="2"/>
      </rPr>
      <t>-3</t>
    </r>
    <r>
      <rPr>
        <i/>
        <sz val="7"/>
        <color indexed="8"/>
        <rFont val="Arial"/>
        <family val="2"/>
      </rPr>
      <t>; A crude value of Vb may be found from 36*Jv</t>
    </r>
    <r>
      <rPr>
        <i/>
        <vertAlign val="superscript"/>
        <sz val="7"/>
        <color indexed="8"/>
        <rFont val="Arial"/>
        <family val="2"/>
      </rPr>
      <t>-3</t>
    </r>
    <r>
      <rPr>
        <i/>
        <sz val="7"/>
        <color indexed="8"/>
        <rFont val="Arial"/>
        <family val="2"/>
      </rPr>
      <t xml:space="preserve">  (</t>
    </r>
    <r>
      <rPr>
        <i/>
        <sz val="7"/>
        <color indexed="8"/>
        <rFont val="Symbol"/>
        <family val="1"/>
        <charset val="2"/>
      </rPr>
      <t>b</t>
    </r>
    <r>
      <rPr>
        <i/>
        <sz val="7"/>
        <color indexed="8"/>
        <rFont val="Arial"/>
        <family val="2"/>
      </rPr>
      <t xml:space="preserve"> = block shape factor)</t>
    </r>
  </si>
  <si>
    <t>Comment</t>
  </si>
  <si>
    <t>Joint spacing rating</t>
  </si>
  <si>
    <t>Sr</t>
  </si>
  <si>
    <t>B4</t>
  </si>
  <si>
    <t>input</t>
  </si>
  <si>
    <t xml:space="preserve">input </t>
  </si>
  <si>
    <t>wall contact                        or    t &lt;  ca. 5mm</t>
  </si>
  <si>
    <t>no wall contact                                      or      t &gt; ca. 5mm</t>
  </si>
  <si>
    <t>For filled joints</t>
  </si>
  <si>
    <t>Very rough or interlocking</t>
  </si>
  <si>
    <t>Note:  jR = Jr = js x jw = 1 for filled joints</t>
  </si>
  <si>
    <t>t &lt; ca. 5mm</t>
  </si>
  <si>
    <t>t &gt; ca. 5mm</t>
  </si>
  <si>
    <t>1 - 2.5 kg/cm²</t>
  </si>
  <si>
    <t>2.5 - 10 kg/cm²</t>
  </si>
  <si>
    <t>10 - 25 litres/min</t>
  </si>
  <si>
    <t>25 - 125 litres/min</t>
  </si>
  <si>
    <t>0.05 - 1</t>
  </si>
  <si>
    <t>0.1 - 0.2</t>
  </si>
  <si>
    <t>inflow &lt; 10 litres/min</t>
  </si>
  <si>
    <t>inflow &gt; 125 litres/min</t>
  </si>
  <si>
    <t>Outside limit of RMR</t>
  </si>
  <si>
    <t>Flowing, decaying</t>
  </si>
  <si>
    <t>Gushing /outwashing</t>
  </si>
  <si>
    <r>
      <t xml:space="preserve">no water inflow </t>
    </r>
    <r>
      <rPr>
        <vertAlign val="superscript"/>
        <sz val="7"/>
        <rFont val="Arial"/>
        <family val="2"/>
      </rPr>
      <t>2)</t>
    </r>
  </si>
  <si>
    <r>
      <t>Overstressing                      (</t>
    </r>
    <r>
      <rPr>
        <sz val="7"/>
        <rFont val="Symbol"/>
        <family val="1"/>
        <charset val="2"/>
      </rPr>
      <t>s</t>
    </r>
    <r>
      <rPr>
        <vertAlign val="subscript"/>
        <sz val="7"/>
        <rFont val="Symbol"/>
        <family val="1"/>
        <charset val="2"/>
      </rPr>
      <t>q</t>
    </r>
    <r>
      <rPr>
        <vertAlign val="subscript"/>
        <sz val="7"/>
        <rFont val="Arial"/>
        <family val="2"/>
      </rPr>
      <t xml:space="preserve"> </t>
    </r>
    <r>
      <rPr>
        <sz val="7"/>
        <rFont val="Arial"/>
        <family val="2"/>
      </rPr>
      <t xml:space="preserve"> &gt; </t>
    </r>
    <r>
      <rPr>
        <sz val="7"/>
        <rFont val="Symbol"/>
        <family val="1"/>
        <charset val="2"/>
      </rPr>
      <t>s</t>
    </r>
    <r>
      <rPr>
        <vertAlign val="subscript"/>
        <sz val="7"/>
        <rFont val="Arial"/>
        <family val="2"/>
      </rPr>
      <t>cm</t>
    </r>
    <r>
      <rPr>
        <sz val="7"/>
        <rFont val="Arial"/>
        <family val="2"/>
      </rPr>
      <t>)   in massive, brittle rock</t>
    </r>
  </si>
  <si>
    <t>Ht &lt; 10m</t>
  </si>
  <si>
    <t>Ht &gt; 20m</t>
  </si>
  <si>
    <t xml:space="preserve"> = SRF</t>
  </si>
  <si>
    <t xml:space="preserve"> = SL</t>
  </si>
  <si>
    <t>strike</t>
  </si>
  <si>
    <t>dip</t>
  </si>
  <si>
    <t>all</t>
  </si>
  <si>
    <t>≤</t>
  </si>
  <si>
    <t>Answer:</t>
  </si>
  <si>
    <t>in one wall</t>
  </si>
  <si>
    <t>Range of SRF in Q system</t>
  </si>
  <si>
    <r>
      <t xml:space="preserve">strike ( </t>
    </r>
    <r>
      <rPr>
        <vertAlign val="superscript"/>
        <sz val="7"/>
        <rFont val="Arial"/>
        <family val="2"/>
      </rPr>
      <t>o</t>
    </r>
    <r>
      <rPr>
        <sz val="7"/>
        <rFont val="Arial"/>
        <family val="2"/>
      </rPr>
      <t>)</t>
    </r>
  </si>
  <si>
    <t>m³ or larger</t>
  </si>
  <si>
    <t>Ht = 10 -20m</t>
  </si>
  <si>
    <t>Adjustment used for influence of high stresses in walls</t>
  </si>
  <si>
    <t>For wall height (Ht)</t>
  </si>
  <si>
    <t>Values of  RQD  and  Vb  will automatically be calculated if only input of  Jv  is given.</t>
  </si>
  <si>
    <t>When value for joint spacing (B4) is not given, it is automatically calculated from the block diameter (Db)</t>
  </si>
  <si>
    <t>Number of JOINT SETS used</t>
  </si>
  <si>
    <t>Input:</t>
  </si>
  <si>
    <r>
      <t xml:space="preserve">dip ( </t>
    </r>
    <r>
      <rPr>
        <vertAlign val="superscript"/>
        <sz val="7"/>
        <rFont val="Arial"/>
        <family val="2"/>
      </rPr>
      <t>o</t>
    </r>
    <r>
      <rPr>
        <sz val="7"/>
        <rFont val="Arial"/>
        <family val="2"/>
      </rPr>
      <t>)</t>
    </r>
  </si>
  <si>
    <r>
      <t xml:space="preserve">strike ( </t>
    </r>
    <r>
      <rPr>
        <vertAlign val="superscript"/>
        <sz val="7"/>
        <color indexed="8"/>
        <rFont val="Arial"/>
        <family val="2"/>
      </rPr>
      <t>o</t>
    </r>
    <r>
      <rPr>
        <sz val="7"/>
        <color indexed="8"/>
        <rFont val="Arial"/>
        <family val="2"/>
      </rPr>
      <t>)</t>
    </r>
  </si>
  <si>
    <r>
      <t xml:space="preserve">dip ( </t>
    </r>
    <r>
      <rPr>
        <vertAlign val="superscript"/>
        <sz val="7"/>
        <color indexed="8"/>
        <rFont val="Arial"/>
        <family val="2"/>
      </rPr>
      <t>o</t>
    </r>
    <r>
      <rPr>
        <sz val="7"/>
        <color indexed="8"/>
        <rFont val="Arial"/>
        <family val="2"/>
      </rPr>
      <t>)</t>
    </r>
  </si>
  <si>
    <t>Em =</t>
  </si>
  <si>
    <t>Deformation modulus</t>
  </si>
  <si>
    <t>*) Wall contact before 10cm shear;   **) No wall contact when sheared;</t>
  </si>
  <si>
    <r>
      <t>Crack</t>
    </r>
    <r>
      <rPr>
        <vertAlign val="superscript"/>
        <sz val="7"/>
        <rFont val="Arial"/>
        <family val="2"/>
      </rPr>
      <t xml:space="preserve"> </t>
    </r>
    <r>
      <rPr>
        <sz val="7"/>
        <rFont val="Arial"/>
        <family val="2"/>
      </rPr>
      <t>(irregular break)</t>
    </r>
  </si>
  <si>
    <t>Filled joint, or seam</t>
  </si>
  <si>
    <r>
      <t xml:space="preserve">"Crack" has been introduced in this spreadsheet;  </t>
    </r>
    <r>
      <rPr>
        <i/>
        <vertAlign val="superscript"/>
        <sz val="7"/>
        <rFont val="Arial"/>
        <family val="2"/>
      </rPr>
      <t xml:space="preserve">1) </t>
    </r>
    <r>
      <rPr>
        <i/>
        <sz val="7"/>
        <rFont val="Arial"/>
        <family val="2"/>
      </rPr>
      <t xml:space="preserve">Length 10 – 20 m  is applied in the RMR;  </t>
    </r>
    <r>
      <rPr>
        <i/>
        <vertAlign val="superscript"/>
        <sz val="7"/>
        <rFont val="Arial"/>
        <family val="2"/>
      </rPr>
      <t>2)</t>
    </r>
    <r>
      <rPr>
        <i/>
        <sz val="7"/>
        <rFont val="Arial"/>
        <family val="2"/>
      </rPr>
      <t xml:space="preserve"> Used in cases where most joints in the location are filled</t>
    </r>
  </si>
  <si>
    <t>Vb</t>
  </si>
  <si>
    <t>Closed</t>
  </si>
  <si>
    <r>
      <t>Strike (</t>
    </r>
    <r>
      <rPr>
        <vertAlign val="superscript"/>
        <sz val="8"/>
        <rFont val="Arial"/>
        <family val="2"/>
      </rPr>
      <t>o</t>
    </r>
    <r>
      <rPr>
        <sz val="8"/>
        <rFont val="Arial"/>
        <family val="2"/>
      </rPr>
      <t>) =</t>
    </r>
  </si>
  <si>
    <r>
      <t>Dip (</t>
    </r>
    <r>
      <rPr>
        <vertAlign val="superscript"/>
        <sz val="8"/>
        <rFont val="Arial"/>
        <family val="2"/>
      </rPr>
      <t>o</t>
    </r>
    <r>
      <rPr>
        <sz val="8"/>
        <rFont val="Arial"/>
        <family val="2"/>
      </rPr>
      <t>) =</t>
    </r>
  </si>
  <si>
    <t>In one WALL</t>
  </si>
  <si>
    <t>In opposite WALL</t>
  </si>
  <si>
    <t>0.1 – 1mm</t>
  </si>
  <si>
    <t>1 - 5mm</t>
  </si>
  <si>
    <t>&gt; 5mm</t>
  </si>
  <si>
    <t>Open</t>
  </si>
  <si>
    <t>What is favourable or unfavourable orientation?</t>
  </si>
  <si>
    <t>e =</t>
  </si>
  <si>
    <t>in the opposite wall</t>
  </si>
  <si>
    <t>Ground condition factor</t>
  </si>
  <si>
    <t>adjusted for walls &gt; 10m</t>
  </si>
  <si>
    <t/>
  </si>
  <si>
    <t>Joint weathering A4e =</t>
  </si>
  <si>
    <t>CLASSIFICATIONS USED</t>
  </si>
  <si>
    <t>Tunnel span (m)</t>
  </si>
  <si>
    <t>Wall height (m)</t>
  </si>
  <si>
    <t xml:space="preserve">I N T E R I M       C A L C U L A T I O N S </t>
  </si>
  <si>
    <r>
      <rPr>
        <b/>
        <sz val="7"/>
        <rFont val="Arial"/>
        <family val="2"/>
      </rPr>
      <t>Vb</t>
    </r>
    <r>
      <rPr>
        <sz val="7"/>
        <rFont val="Arial"/>
        <family val="2"/>
      </rPr>
      <t xml:space="preserve"> (in m3) =</t>
    </r>
  </si>
  <si>
    <t>Medium</t>
  </si>
  <si>
    <t>Extremely dense</t>
  </si>
  <si>
    <t xml:space="preserve">Input for Jv may be used instead of  Vb and/or RQD </t>
  </si>
  <si>
    <t>GPa (for RMR &gt; 50)</t>
  </si>
  <si>
    <t>GPa (for RMR &lt; 50)</t>
  </si>
  <si>
    <t>3 joint sets</t>
  </si>
  <si>
    <t>crushed</t>
  </si>
  <si>
    <t>very rough</t>
  </si>
  <si>
    <t>rough</t>
  </si>
  <si>
    <t>slightly rough</t>
  </si>
  <si>
    <t>smooth</t>
  </si>
  <si>
    <t>polished</t>
  </si>
  <si>
    <t>slickensided</t>
  </si>
  <si>
    <t>planar</t>
  </si>
  <si>
    <t>slightly undul.</t>
  </si>
  <si>
    <t>strongly undul.</t>
  </si>
  <si>
    <t>crack</t>
  </si>
  <si>
    <t>long joint</t>
  </si>
  <si>
    <t>favourable</t>
  </si>
  <si>
    <t>unfavourable</t>
  </si>
  <si>
    <t>gushing</t>
  </si>
  <si>
    <t>dripping</t>
  </si>
  <si>
    <t>wet</t>
  </si>
  <si>
    <t>2 joint sets</t>
  </si>
  <si>
    <t>UCS =</t>
  </si>
  <si>
    <t>low stress</t>
  </si>
  <si>
    <t>moderate stress</t>
  </si>
  <si>
    <t>high stress</t>
  </si>
  <si>
    <t>mod. undul.</t>
  </si>
  <si>
    <r>
      <t>Stresses below rock mass strength                        (</t>
    </r>
    <r>
      <rPr>
        <sz val="7"/>
        <rFont val="Symbol"/>
        <family val="1"/>
        <charset val="2"/>
      </rPr>
      <t>s</t>
    </r>
    <r>
      <rPr>
        <vertAlign val="subscript"/>
        <sz val="7"/>
        <rFont val="Symbol"/>
        <family val="1"/>
        <charset val="2"/>
      </rPr>
      <t>q</t>
    </r>
    <r>
      <rPr>
        <sz val="7"/>
        <rFont val="Symbol"/>
        <family val="1"/>
        <charset val="2"/>
      </rPr>
      <t xml:space="preserve"> </t>
    </r>
    <r>
      <rPr>
        <sz val="7"/>
        <rFont val="Arial"/>
        <family val="2"/>
      </rPr>
      <t xml:space="preserve">&lt; </t>
    </r>
    <r>
      <rPr>
        <sz val="7"/>
        <rFont val="Symbol"/>
        <family val="1"/>
        <charset val="2"/>
      </rPr>
      <t>s</t>
    </r>
    <r>
      <rPr>
        <vertAlign val="subscript"/>
        <sz val="7"/>
        <rFont val="Arial"/>
        <family val="2"/>
      </rPr>
      <t>cm</t>
    </r>
    <r>
      <rPr>
        <sz val="7"/>
        <rFont val="Arial"/>
        <family val="2"/>
      </rPr>
      <t>)</t>
    </r>
  </si>
  <si>
    <t>Q-value including UCS</t>
  </si>
  <si>
    <t>Ground class</t>
  </si>
  <si>
    <r>
      <t xml:space="preserve">Excavation </t>
    </r>
    <r>
      <rPr>
        <sz val="9"/>
        <rFont val="Arial"/>
        <family val="2"/>
      </rPr>
      <t>(drill and blast)</t>
    </r>
  </si>
  <si>
    <t>Rock support</t>
  </si>
  <si>
    <r>
      <t>Rock bolts</t>
    </r>
    <r>
      <rPr>
        <sz val="9"/>
        <rFont val="Arial"/>
        <family val="2"/>
      </rPr>
      <t xml:space="preserve"> </t>
    </r>
  </si>
  <si>
    <t>Shotcrete</t>
  </si>
  <si>
    <t>Steel sets</t>
  </si>
  <si>
    <t>(20 mm diam., fully bonded)</t>
  </si>
  <si>
    <t>RMR: 81-100</t>
  </si>
  <si>
    <t>2. Good rock</t>
  </si>
  <si>
    <t>RMR: 61-80</t>
  </si>
  <si>
    <t>Complete support 20 m from face</t>
  </si>
  <si>
    <t>3. Fair rock</t>
  </si>
  <si>
    <t>RMR: 41-60</t>
  </si>
  <si>
    <t>4. Poor rock</t>
  </si>
  <si>
    <t>RMR: 21-40</t>
  </si>
  <si>
    <t>5. Very poor rock</t>
  </si>
  <si>
    <t>RMR &lt; 21</t>
  </si>
  <si>
    <r>
      <t>RMR</t>
    </r>
    <r>
      <rPr>
        <vertAlign val="subscript"/>
        <sz val="8"/>
        <rFont val="Arial"/>
        <family val="2"/>
      </rPr>
      <t>1989</t>
    </r>
  </si>
  <si>
    <r>
      <t>RMR</t>
    </r>
    <r>
      <rPr>
        <vertAlign val="subscript"/>
        <sz val="8"/>
        <color indexed="8"/>
        <rFont val="Arial"/>
        <family val="2"/>
      </rPr>
      <t>1989</t>
    </r>
  </si>
  <si>
    <r>
      <t>RMR</t>
    </r>
    <r>
      <rPr>
        <vertAlign val="subscript"/>
        <sz val="9"/>
        <rFont val="Arial"/>
        <family val="2"/>
      </rPr>
      <t>1989</t>
    </r>
  </si>
  <si>
    <t>Locality:</t>
  </si>
  <si>
    <t>Observer:</t>
  </si>
  <si>
    <t>moderate</t>
  </si>
  <si>
    <t>Project:</t>
  </si>
  <si>
    <t>Rock weathering</t>
  </si>
  <si>
    <r>
      <t>Classification of joint or zone orientations (for strikes 0 - 90</t>
    </r>
    <r>
      <rPr>
        <vertAlign val="superscript"/>
        <sz val="9"/>
        <rFont val="Arial"/>
        <family val="2"/>
      </rPr>
      <t>o</t>
    </r>
    <r>
      <rPr>
        <sz val="9"/>
        <rFont val="Arial"/>
        <family val="2"/>
      </rPr>
      <t>)</t>
    </r>
  </si>
  <si>
    <t>Unweathered / fresh</t>
  </si>
  <si>
    <t>Weathering extends throughout rock mass and the rock material is partly friable. Rock has no lustre. All material except quartz is discoloured. Rock can be excavated with geologist's pick.</t>
  </si>
  <si>
    <t>Residual soil</t>
  </si>
  <si>
    <t xml:space="preserve">Soil material with complete disintegration of texture, structure and mineralogy of the parent rock. </t>
  </si>
  <si>
    <t>A2</t>
  </si>
  <si>
    <r>
      <t xml:space="preserve">NOTE!  GW  is related to groundwater influence on rockmass stability.  </t>
    </r>
    <r>
      <rPr>
        <i/>
        <vertAlign val="superscript"/>
        <sz val="7"/>
        <rFont val="Arial"/>
        <family val="2"/>
      </rPr>
      <t>1)</t>
    </r>
    <r>
      <rPr>
        <i/>
        <sz val="7"/>
        <rFont val="Arial"/>
        <family val="2"/>
      </rPr>
      <t xml:space="preserve"> Water pressure used in Q-system;  </t>
    </r>
    <r>
      <rPr>
        <i/>
        <vertAlign val="superscript"/>
        <sz val="7"/>
        <rFont val="Arial"/>
        <family val="2"/>
      </rPr>
      <t>2)</t>
    </r>
    <r>
      <rPr>
        <i/>
        <sz val="7"/>
        <rFont val="Arial"/>
        <family val="2"/>
      </rPr>
      <t xml:space="preserve"> Inflow per 10m tunnel as used in RMR</t>
    </r>
  </si>
  <si>
    <t>Slightly weathered</t>
  </si>
  <si>
    <t>Moderately weathered</t>
  </si>
  <si>
    <t>Highly weathered</t>
  </si>
  <si>
    <t>Completely weathered</t>
  </si>
  <si>
    <t>Rock is totally discoloured and decomposed and in a friable condition with only fragments of the rock texture and structure preserved. The external appearance is that of a soil.</t>
  </si>
  <si>
    <t>Slight discoloration extends through the greater part of the rock mass. The rock is not friable (except in the case of poorly cemented sedimentary rocks). Discontinuities are stained and/or contain a filling of altered materials.</t>
  </si>
  <si>
    <t>Penetrative weathering developed on open disco¬ntinuity surfaces but only slight weathering of rock material. Discontinuities are discoloured and discoloration can extend into rock up to a few mm from discontinuity surface.</t>
  </si>
  <si>
    <t>No visible signs of weathering. Rock fresh, crystals bright. Few discontinuities may show slight staining.</t>
  </si>
  <si>
    <r>
      <t>water pressure (p</t>
    </r>
    <r>
      <rPr>
        <vertAlign val="subscript"/>
        <sz val="7"/>
        <rFont val="Arial"/>
        <family val="2"/>
      </rPr>
      <t>w</t>
    </r>
    <r>
      <rPr>
        <sz val="7"/>
        <rFont val="Arial"/>
        <family val="2"/>
      </rPr>
      <t>)</t>
    </r>
    <r>
      <rPr>
        <vertAlign val="superscript"/>
        <sz val="7"/>
        <rFont val="Arial"/>
        <family val="2"/>
      </rPr>
      <t>1)</t>
    </r>
  </si>
  <si>
    <t>high</t>
  </si>
  <si>
    <r>
      <t xml:space="preserve">Q support chart             </t>
    </r>
    <r>
      <rPr>
        <b/>
        <sz val="9"/>
        <rFont val="Arial"/>
        <family val="2"/>
      </rPr>
      <t xml:space="preserve">      for drill &amp; blast tunnels</t>
    </r>
  </si>
  <si>
    <t>Damp</t>
  </si>
  <si>
    <t>damp</t>
  </si>
  <si>
    <t>Inburst / Heavily flowing, without noticeable decay</t>
  </si>
  <si>
    <t>NOTE: Strike and dip are related to the tunnel direction</t>
  </si>
  <si>
    <t>Joint planarity</t>
  </si>
  <si>
    <t>Joint smoothness</t>
  </si>
  <si>
    <t>Jointing pattern</t>
  </si>
  <si>
    <t xml:space="preserve">A4 = </t>
  </si>
  <si>
    <t>spacing (m)</t>
  </si>
  <si>
    <t xml:space="preserve">A2 = </t>
  </si>
  <si>
    <t>Joint           infilling</t>
  </si>
  <si>
    <t>mild squeeze</t>
  </si>
  <si>
    <t>Weakness zone</t>
  </si>
  <si>
    <t>very favour.</t>
  </si>
  <si>
    <t xml:space="preserve">Q system </t>
  </si>
  <si>
    <t>RMi system</t>
  </si>
  <si>
    <t>Joint separation or aperture (e)</t>
  </si>
  <si>
    <t>Dry / above GWL</t>
  </si>
  <si>
    <t>Groundwater conditions</t>
  </si>
  <si>
    <t>Input of strike and dip:</t>
  </si>
  <si>
    <t>very good</t>
  </si>
  <si>
    <t>good</t>
  </si>
  <si>
    <t>poor</t>
  </si>
  <si>
    <t>very poor</t>
  </si>
  <si>
    <t>except. good</t>
  </si>
  <si>
    <t>extr. good</t>
  </si>
  <si>
    <t>extr. poor</t>
  </si>
  <si>
    <t>except. poor</t>
  </si>
  <si>
    <t>very high</t>
  </si>
  <si>
    <t>low</t>
  </si>
  <si>
    <t>very low</t>
  </si>
  <si>
    <t>extr. low</t>
  </si>
  <si>
    <t>v. favourable</t>
  </si>
  <si>
    <t>extremely large</t>
  </si>
  <si>
    <t>very large size</t>
  </si>
  <si>
    <t>large size</t>
  </si>
  <si>
    <t>moderate size</t>
  </si>
  <si>
    <t>small size</t>
  </si>
  <si>
    <t>very small size</t>
  </si>
  <si>
    <t>extremely small</t>
  </si>
  <si>
    <t>in ROOF</t>
  </si>
  <si>
    <t>1. Very good rock</t>
  </si>
  <si>
    <t>Generally no support required,</t>
  </si>
  <si>
    <t>Spot bolting</t>
  </si>
  <si>
    <t>in crown</t>
  </si>
  <si>
    <t xml:space="preserve"> with occasional wire mesh</t>
  </si>
  <si>
    <t>in crown and walls</t>
  </si>
  <si>
    <t>with wire mesh</t>
  </si>
  <si>
    <t>in sides</t>
  </si>
  <si>
    <t>where required</t>
  </si>
  <si>
    <t>Medium to heavy ribs spaced</t>
  </si>
  <si>
    <t>forepoling if required. Close invert</t>
  </si>
  <si>
    <t>Bolt invert</t>
  </si>
  <si>
    <t>Wall height:</t>
  </si>
  <si>
    <t>Station:</t>
  </si>
  <si>
    <t>Tunnel span:</t>
  </si>
  <si>
    <t>1.0 - 1.5 m advance;</t>
  </si>
  <si>
    <t>3 m long, spaced 2.5 m</t>
  </si>
  <si>
    <t>Systematic bolts 4 m long,</t>
  </si>
  <si>
    <t>spaced 1.5 - 2 m</t>
  </si>
  <si>
    <t>Systematic bolts 4 - 5 m long,</t>
  </si>
  <si>
    <t>spaced 1 - 1.5 m</t>
  </si>
  <si>
    <t>Systematic bolts 5 - 6 m long,</t>
  </si>
  <si>
    <t>Light ribs spaced 1.5 m</t>
  </si>
  <si>
    <t>0.75 m with steel lagging and</t>
  </si>
  <si>
    <t>massive</t>
  </si>
  <si>
    <t>broken</t>
  </si>
  <si>
    <t>jC =</t>
  </si>
  <si>
    <t>Db =</t>
  </si>
  <si>
    <t>JP =</t>
  </si>
  <si>
    <t>Joint size factor</t>
  </si>
  <si>
    <t>Joint condition factor</t>
  </si>
  <si>
    <t>Block shape factor</t>
  </si>
  <si>
    <t>Jointing parameter</t>
  </si>
  <si>
    <t>Massivity factor</t>
  </si>
  <si>
    <t>Rock Mass index</t>
  </si>
  <si>
    <t>Deformation modulus Em =</t>
  </si>
  <si>
    <t xml:space="preserve"> in crown</t>
  </si>
  <si>
    <t xml:space="preserve">  Full face:</t>
  </si>
  <si>
    <t xml:space="preserve">  Top heading and bench:</t>
  </si>
  <si>
    <t xml:space="preserve">  Multiple drifts:</t>
  </si>
  <si>
    <t>3 to 5</t>
  </si>
  <si>
    <t>Circular section</t>
  </si>
  <si>
    <t>Temporary mine openings, etc..</t>
  </si>
  <si>
    <t>Rectangular / square section</t>
  </si>
  <si>
    <t>Vertical shafts *)</t>
  </si>
  <si>
    <t>2,5</t>
  </si>
  <si>
    <t>2,0</t>
  </si>
  <si>
    <t>Permanent mine openings, water tunnels for hydro power (exclude high pressure penstocks), water supply tunnels, pilot tunnels, drifts and headings for large openings.</t>
  </si>
  <si>
    <t xml:space="preserve">Minor road and railway tunnels, surge chambers, access tunnels, sewage tunnels, etc. </t>
  </si>
  <si>
    <t>Power houses, storage rooms, water treatment plants, major road and railway tunnels, civil defence chambers, portals, intersections, etc.</t>
  </si>
  <si>
    <t xml:space="preserve">Underground nuclear power stations, railways stations, sports and public facilitates, factories, etc. </t>
  </si>
  <si>
    <t>Very important caverns and underground openings with a long lifetime, ≈ 100 years, or without access for maintenance.</t>
  </si>
  <si>
    <t>*) Dependant of purpose. May be lower than given values, ca. 2.5 ca. 2.0</t>
  </si>
  <si>
    <t>Excavation Support Ratio (ESR)</t>
  </si>
  <si>
    <t>ESR =</t>
  </si>
  <si>
    <t>ESR value</t>
  </si>
  <si>
    <t xml:space="preserve"> - rectangular opening</t>
  </si>
  <si>
    <t xml:space="preserve"> - circular opening</t>
  </si>
  <si>
    <t>heavy burst</t>
  </si>
  <si>
    <t>max.bolt spacing in roof, c/c =</t>
  </si>
  <si>
    <t>Em = Deformation modulus of rock masses</t>
  </si>
  <si>
    <t>Qc = Q-value corrected for rock strength</t>
  </si>
  <si>
    <t>Classification of thickness (width) of zone</t>
  </si>
  <si>
    <t>very small</t>
  </si>
  <si>
    <t>small</t>
  </si>
  <si>
    <t>medium</t>
  </si>
  <si>
    <t>large</t>
  </si>
  <si>
    <t>very large</t>
  </si>
  <si>
    <t>Reference</t>
  </si>
  <si>
    <t>0.1 - 1 m</t>
  </si>
  <si>
    <t>1 - 3 m</t>
  </si>
  <si>
    <t>3 - 10 m</t>
  </si>
  <si>
    <t>10 - 30 m</t>
  </si>
  <si>
    <t>&gt; 30 m</t>
  </si>
  <si>
    <t>NBG (1985)</t>
  </si>
  <si>
    <t>Zone thickness (Tz) =</t>
  </si>
  <si>
    <t>Approximate block size</t>
  </si>
  <si>
    <t>jC</t>
  </si>
  <si>
    <t>≈</t>
  </si>
  <si>
    <r>
      <t>RMi</t>
    </r>
    <r>
      <rPr>
        <b/>
        <vertAlign val="subscript"/>
        <sz val="8"/>
        <color theme="1"/>
        <rFont val="Arial"/>
        <family val="2"/>
      </rPr>
      <t>z</t>
    </r>
  </si>
  <si>
    <r>
      <t>RMi</t>
    </r>
    <r>
      <rPr>
        <vertAlign val="subscript"/>
        <sz val="8"/>
        <rFont val="Arial"/>
        <family val="2"/>
      </rPr>
      <t>z</t>
    </r>
    <r>
      <rPr>
        <sz val="7"/>
        <rFont val="Arial"/>
        <family val="2"/>
      </rPr>
      <t xml:space="preserve"> =</t>
    </r>
  </si>
  <si>
    <t xml:space="preserve"> Some definitions:</t>
  </si>
  <si>
    <t>Sr = Size ratio in RMi system = Dt/Db x Co/Nj</t>
  </si>
  <si>
    <t>RRS I:</t>
  </si>
  <si>
    <t>RRS II:</t>
  </si>
  <si>
    <t>RRS III:</t>
  </si>
  <si>
    <t>related to tunnel axis</t>
  </si>
  <si>
    <t>Volumetric joint count</t>
  </si>
  <si>
    <t>D =</t>
  </si>
  <si>
    <t>Ø16 =</t>
  </si>
  <si>
    <t>←</t>
  </si>
  <si>
    <t>v. unfavour.</t>
  </si>
  <si>
    <t>Double layer of rebars</t>
  </si>
  <si>
    <t>(Reinforced Ribs of Shotcrete)</t>
  </si>
  <si>
    <r>
      <t xml:space="preserve">NOTE: </t>
    </r>
    <r>
      <rPr>
        <b/>
        <i/>
        <sz val="10"/>
        <color rgb="FF0000CC"/>
        <rFont val="Arial"/>
        <family val="2"/>
      </rPr>
      <t>blue values</t>
    </r>
    <r>
      <rPr>
        <b/>
        <i/>
        <sz val="10"/>
        <rFont val="Arial"/>
        <family val="2"/>
      </rPr>
      <t xml:space="preserve"> can be adjusted</t>
    </r>
  </si>
  <si>
    <t>extr. unfavour.</t>
  </si>
  <si>
    <t>a. Temporary mine openings</t>
  </si>
  <si>
    <t>b. Vertical shafts</t>
  </si>
  <si>
    <t>c. Water tunnels, pilot tunnels, drifts</t>
  </si>
  <si>
    <t>d. Minor road tunnels, access tunnels</t>
  </si>
  <si>
    <t>e. Powerhouses, road and railway tunnels</t>
  </si>
  <si>
    <t>f. Railway stations, sports and public facilities</t>
  </si>
  <si>
    <t xml:space="preserve">g. Important caverns without later access </t>
  </si>
  <si>
    <t>crushed, seamy</t>
  </si>
  <si>
    <r>
      <t>WEAKNESS (FAULT) ZONES</t>
    </r>
    <r>
      <rPr>
        <b/>
        <vertAlign val="superscript"/>
        <sz val="9"/>
        <rFont val="Arial"/>
        <family val="2"/>
      </rPr>
      <t xml:space="preserve"> *)</t>
    </r>
  </si>
  <si>
    <t xml:space="preserve"> Rock strength </t>
  </si>
  <si>
    <t>min. shotcrete thickness in roof =</t>
  </si>
  <si>
    <t xml:space="preserve"> 5 - 3</t>
  </si>
  <si>
    <r>
      <t>strike (</t>
    </r>
    <r>
      <rPr>
        <vertAlign val="superscript"/>
        <sz val="6"/>
        <color rgb="FF000000"/>
        <rFont val="Arial"/>
        <family val="2"/>
      </rPr>
      <t xml:space="preserve"> o </t>
    </r>
    <r>
      <rPr>
        <sz val="6"/>
        <color indexed="8"/>
        <rFont val="Arial"/>
        <family val="2"/>
      </rPr>
      <t>)</t>
    </r>
  </si>
  <si>
    <r>
      <t>dip (</t>
    </r>
    <r>
      <rPr>
        <vertAlign val="superscript"/>
        <sz val="6"/>
        <color rgb="FF000000"/>
        <rFont val="Arial"/>
        <family val="2"/>
      </rPr>
      <t xml:space="preserve"> o </t>
    </r>
    <r>
      <rPr>
        <sz val="6"/>
        <color indexed="8"/>
        <rFont val="Arial"/>
        <family val="2"/>
      </rPr>
      <t>)</t>
    </r>
  </si>
  <si>
    <r>
      <t xml:space="preserve">The RMi rock support chart for rock bursting                                             </t>
    </r>
    <r>
      <rPr>
        <b/>
        <sz val="10"/>
        <rFont val="Arial"/>
        <family val="2"/>
      </rPr>
      <t xml:space="preserve">  for drill &amp; blast tunnels</t>
    </r>
  </si>
  <si>
    <t>Joint roughness</t>
  </si>
  <si>
    <t>variation</t>
  </si>
  <si>
    <r>
      <t xml:space="preserve">Zone size  </t>
    </r>
    <r>
      <rPr>
        <b/>
        <sz val="7"/>
        <rFont val="Calibri"/>
        <family val="2"/>
      </rPr>
      <t>→</t>
    </r>
  </si>
  <si>
    <t>used</t>
  </si>
  <si>
    <t>Influence of weakness zone size (Tz) on Size ratio (Sr)</t>
  </si>
  <si>
    <t>Typical value</t>
  </si>
  <si>
    <t>jointed rock</t>
  </si>
  <si>
    <t>No extra support</t>
  </si>
  <si>
    <t>SL = Stress level</t>
  </si>
  <si>
    <t>GW = Groundwater conditions (or leakage into tunnel)</t>
  </si>
  <si>
    <t>Dt = Tunnel diameter (or span)</t>
  </si>
  <si>
    <t>Db = Block diameter</t>
  </si>
  <si>
    <t>Co = Orientation of joint set</t>
  </si>
  <si>
    <t xml:space="preserve">roof </t>
  </si>
  <si>
    <t xml:space="preserve">wall </t>
  </si>
  <si>
    <t>Rockmass continuity factor</t>
  </si>
  <si>
    <t>Joint roughness factor                                   (Jr = js x jw)</t>
  </si>
  <si>
    <r>
      <rPr>
        <sz val="7"/>
        <color rgb="FF000000"/>
        <rFont val="Arial"/>
        <family val="2"/>
      </rPr>
      <t>Co</t>
    </r>
    <r>
      <rPr>
        <sz val="8"/>
        <color indexed="8"/>
        <rFont val="Arial"/>
        <family val="2"/>
      </rPr>
      <t xml:space="preserve"> </t>
    </r>
    <r>
      <rPr>
        <sz val="5"/>
        <color rgb="FF000000"/>
        <rFont val="Arial"/>
        <family val="2"/>
      </rPr>
      <t>roof</t>
    </r>
    <r>
      <rPr>
        <sz val="8"/>
        <color indexed="8"/>
        <rFont val="Arial"/>
        <family val="2"/>
      </rPr>
      <t xml:space="preserve"> </t>
    </r>
    <r>
      <rPr>
        <sz val="7"/>
        <color rgb="FF000000"/>
        <rFont val="Arial"/>
        <family val="2"/>
      </rPr>
      <t>=</t>
    </r>
  </si>
  <si>
    <r>
      <t xml:space="preserve">Co </t>
    </r>
    <r>
      <rPr>
        <sz val="5"/>
        <color rgb="FF000000"/>
        <rFont val="Arial"/>
        <family val="2"/>
      </rPr>
      <t>wall</t>
    </r>
    <r>
      <rPr>
        <sz val="7"/>
        <color rgb="FF000000"/>
        <rFont val="Arial"/>
        <family val="2"/>
      </rPr>
      <t xml:space="preserve"> =</t>
    </r>
  </si>
  <si>
    <r>
      <t xml:space="preserve">Ja </t>
    </r>
    <r>
      <rPr>
        <sz val="5"/>
        <color rgb="FF000000"/>
        <rFont val="Arial"/>
        <family val="2"/>
      </rPr>
      <t>or</t>
    </r>
    <r>
      <rPr>
        <sz val="7"/>
        <color indexed="8"/>
        <rFont val="Arial"/>
        <family val="2"/>
      </rPr>
      <t xml:space="preserve"> jA =</t>
    </r>
  </si>
  <si>
    <r>
      <t>Co</t>
    </r>
    <r>
      <rPr>
        <vertAlign val="subscript"/>
        <sz val="7"/>
        <color indexed="8"/>
        <rFont val="Arial"/>
        <family val="2"/>
      </rPr>
      <t>z</t>
    </r>
    <r>
      <rPr>
        <sz val="7"/>
        <color indexed="8"/>
        <rFont val="Arial"/>
        <family val="2"/>
      </rPr>
      <t xml:space="preserve"> </t>
    </r>
    <r>
      <rPr>
        <sz val="5"/>
        <color rgb="FF000000"/>
        <rFont val="Arial"/>
        <family val="2"/>
      </rPr>
      <t>roof</t>
    </r>
    <r>
      <rPr>
        <sz val="7"/>
        <color indexed="8"/>
        <rFont val="Arial"/>
        <family val="2"/>
      </rPr>
      <t xml:space="preserve"> =</t>
    </r>
  </si>
  <si>
    <r>
      <t>Co</t>
    </r>
    <r>
      <rPr>
        <vertAlign val="subscript"/>
        <sz val="7"/>
        <color indexed="8"/>
        <rFont val="Arial"/>
        <family val="2"/>
      </rPr>
      <t>z</t>
    </r>
    <r>
      <rPr>
        <sz val="7"/>
        <color indexed="8"/>
        <rFont val="Arial"/>
        <family val="2"/>
      </rPr>
      <t xml:space="preserve"> </t>
    </r>
    <r>
      <rPr>
        <sz val="5"/>
        <color rgb="FF000000"/>
        <rFont val="Arial"/>
        <family val="2"/>
      </rPr>
      <t>wall</t>
    </r>
    <r>
      <rPr>
        <sz val="7"/>
        <color indexed="8"/>
        <rFont val="Arial"/>
        <family val="2"/>
      </rPr>
      <t xml:space="preserve"> =</t>
    </r>
  </si>
  <si>
    <t>dry/above GWL</t>
  </si>
  <si>
    <t>DJ =</t>
  </si>
  <si>
    <t xml:space="preserve"> B =</t>
  </si>
  <si>
    <r>
      <rPr>
        <i/>
        <sz val="7"/>
        <rFont val="Arial"/>
        <family val="2"/>
      </rPr>
      <t xml:space="preserve">Cg = competency of ground;  </t>
    </r>
    <r>
      <rPr>
        <i/>
        <sz val="7"/>
        <rFont val="Symbol"/>
        <family val="1"/>
        <charset val="2"/>
      </rPr>
      <t xml:space="preserve"> s</t>
    </r>
    <r>
      <rPr>
        <i/>
        <vertAlign val="subscript"/>
        <sz val="7"/>
        <rFont val="Symbol"/>
        <family val="1"/>
        <charset val="2"/>
      </rPr>
      <t>q</t>
    </r>
    <r>
      <rPr>
        <i/>
        <vertAlign val="subscript"/>
        <sz val="7"/>
        <rFont val="Arial"/>
        <family val="2"/>
      </rPr>
      <t xml:space="preserve"> </t>
    </r>
    <r>
      <rPr>
        <i/>
        <sz val="7"/>
        <rFont val="Arial"/>
        <family val="2"/>
      </rPr>
      <t xml:space="preserve"> = tangential stresses around the opening; </t>
    </r>
    <r>
      <rPr>
        <i/>
        <sz val="7"/>
        <rFont val="Symbol"/>
        <family val="1"/>
        <charset val="2"/>
      </rPr>
      <t>s</t>
    </r>
    <r>
      <rPr>
        <i/>
        <vertAlign val="subscript"/>
        <sz val="7"/>
        <rFont val="Arial"/>
        <family val="2"/>
      </rPr>
      <t>cm</t>
    </r>
    <r>
      <rPr>
        <i/>
        <sz val="7"/>
        <rFont val="Arial"/>
        <family val="2"/>
      </rPr>
      <t xml:space="preserve"> ≈ RMi = compressive strength of rock mass</t>
    </r>
  </si>
  <si>
    <t>Zone width  (thickness)</t>
  </si>
  <si>
    <t>from input</t>
  </si>
  <si>
    <t>Fragment size in zone</t>
  </si>
  <si>
    <t>Fragment diameter in zone</t>
  </si>
  <si>
    <t>dm             =</t>
  </si>
  <si>
    <r>
      <t xml:space="preserve">Jw </t>
    </r>
    <r>
      <rPr>
        <sz val="5"/>
        <rFont val="Arial"/>
        <family val="2"/>
      </rPr>
      <t>or</t>
    </r>
    <r>
      <rPr>
        <sz val="7"/>
        <rFont val="Arial"/>
        <family val="2"/>
      </rPr>
      <t xml:space="preserve"> GW =</t>
    </r>
  </si>
  <si>
    <r>
      <t xml:space="preserve">Jv </t>
    </r>
    <r>
      <rPr>
        <sz val="6"/>
        <color rgb="FF000000"/>
        <rFont val="Arial"/>
        <family val="2"/>
      </rPr>
      <t>(joints/m</t>
    </r>
    <r>
      <rPr>
        <vertAlign val="superscript"/>
        <sz val="6"/>
        <color rgb="FF000000"/>
        <rFont val="Arial"/>
        <family val="2"/>
      </rPr>
      <t>3</t>
    </r>
    <r>
      <rPr>
        <sz val="6"/>
        <color rgb="FF000000"/>
        <rFont val="Arial"/>
        <family val="2"/>
      </rPr>
      <t>)</t>
    </r>
    <r>
      <rPr>
        <sz val="5"/>
        <color rgb="FF000000"/>
        <rFont val="Arial"/>
        <family val="2"/>
      </rPr>
      <t xml:space="preserve"> </t>
    </r>
    <r>
      <rPr>
        <sz val="6"/>
        <color indexed="8"/>
        <rFont val="Arial"/>
        <family val="2"/>
      </rPr>
      <t>=</t>
    </r>
  </si>
  <si>
    <r>
      <t xml:space="preserve">Vb </t>
    </r>
    <r>
      <rPr>
        <sz val="6"/>
        <color rgb="FF000000"/>
        <rFont val="Arial"/>
        <family val="2"/>
      </rPr>
      <t>(in dm</t>
    </r>
    <r>
      <rPr>
        <vertAlign val="superscript"/>
        <sz val="6"/>
        <color rgb="FF000000"/>
        <rFont val="Arial"/>
        <family val="2"/>
      </rPr>
      <t>3</t>
    </r>
    <r>
      <rPr>
        <sz val="6"/>
        <color rgb="FF000000"/>
        <rFont val="Arial"/>
        <family val="2"/>
      </rPr>
      <t>)</t>
    </r>
    <r>
      <rPr>
        <sz val="6"/>
        <color indexed="8"/>
        <rFont val="Arial"/>
        <family val="2"/>
      </rPr>
      <t xml:space="preserve"> =</t>
    </r>
  </si>
  <si>
    <t>Block diameter (m)</t>
  </si>
  <si>
    <t>weakness zone</t>
  </si>
  <si>
    <t>weak zone</t>
  </si>
  <si>
    <t>Strength of zone fragments</t>
  </si>
  <si>
    <t>MPa</t>
  </si>
  <si>
    <t xml:space="preserve"> Em =</t>
  </si>
  <si>
    <t>Spacing</t>
  </si>
  <si>
    <r>
      <t xml:space="preserve">RQD </t>
    </r>
    <r>
      <rPr>
        <sz val="5"/>
        <color rgb="FF000000"/>
        <rFont val="Arial"/>
        <family val="2"/>
      </rPr>
      <t>(value)</t>
    </r>
    <r>
      <rPr>
        <sz val="6"/>
        <color indexed="8"/>
        <rFont val="Arial"/>
        <family val="2"/>
      </rPr>
      <t xml:space="preserve"> =</t>
    </r>
  </si>
  <si>
    <t xml:space="preserve">only of zone </t>
  </si>
  <si>
    <t xml:space="preserve">Joint separation </t>
  </si>
  <si>
    <t>Input</t>
  </si>
  <si>
    <t>Answer</t>
  </si>
  <si>
    <t>RQD from Jv:</t>
  </si>
  <si>
    <t>Outside limit</t>
  </si>
  <si>
    <t>click here</t>
  </si>
  <si>
    <t>span/ ESR =</t>
  </si>
  <si>
    <t>C A L C U L A T E D   R E S U L T S</t>
  </si>
  <si>
    <t>Limitations →</t>
  </si>
  <si>
    <t xml:space="preserve">Rock bolts → </t>
  </si>
  <si>
    <t xml:space="preserve">in ROOF  </t>
  </si>
  <si>
    <t>50 mm thick, where required</t>
  </si>
  <si>
    <t>50 - 100 mm thick</t>
  </si>
  <si>
    <t>30 mm thick</t>
  </si>
  <si>
    <t>100 - 150 mm thick</t>
  </si>
  <si>
    <t>100 mm thick</t>
  </si>
  <si>
    <t>150 - 200 mm thick</t>
  </si>
  <si>
    <t>150 mm thick</t>
  </si>
  <si>
    <t>50 mm thick on face</t>
  </si>
  <si>
    <t xml:space="preserve">Shotcrete → </t>
  </si>
  <si>
    <r>
      <rPr>
        <b/>
        <sz val="9"/>
        <rFont val="Calibri"/>
        <family val="2"/>
        <scheme val="minor"/>
      </rPr>
      <t xml:space="preserve">Shotcrete → </t>
    </r>
    <r>
      <rPr>
        <b/>
        <sz val="8"/>
        <rFont val="Calibri"/>
        <family val="2"/>
        <scheme val="minor"/>
      </rPr>
      <t xml:space="preserve">             </t>
    </r>
  </si>
  <si>
    <t xml:space="preserve"> 1.5 - 3 m advance in top heading.</t>
  </si>
  <si>
    <t xml:space="preserve"> Commence support after each blast</t>
  </si>
  <si>
    <t xml:space="preserve"> Complete support 10 m from face</t>
  </si>
  <si>
    <t xml:space="preserve"> 1.0 - 1.5 m advance in top heading</t>
  </si>
  <si>
    <t xml:space="preserve"> Install support concurrently </t>
  </si>
  <si>
    <t xml:space="preserve"> with excavation - 10 m from face</t>
  </si>
  <si>
    <t xml:space="preserve"> 0.5 - 1.5 m advance in top heading;</t>
  </si>
  <si>
    <t xml:space="preserve"> with excavation; shotcrete as</t>
  </si>
  <si>
    <t xml:space="preserve"> soon as possible after blasting</t>
  </si>
  <si>
    <t xml:space="preserve"> 3 m advance</t>
  </si>
  <si>
    <t>discontinuous</t>
  </si>
  <si>
    <t>Nj = Number of joint sets (used in RMi system)</t>
  </si>
  <si>
    <t>Continuous rockmass = Massive rock, or strongly jointed rocks</t>
  </si>
  <si>
    <t>Massive rock = Rockmass with few joints, related to tunnel size</t>
  </si>
  <si>
    <t>Jointed rock = Rockmass intersected by joints</t>
  </si>
  <si>
    <t>Blocky ground = Jointed rock</t>
  </si>
  <si>
    <t>Shotcrete = Sprayed concrete</t>
  </si>
  <si>
    <t>Fibrecrete = Fibre reinforced sprayed concrete</t>
  </si>
  <si>
    <t>Slightly altered joint walls (coloured, stained)</t>
  </si>
  <si>
    <t>Altered joint wall (no loose material)</t>
  </si>
  <si>
    <t>Coating of friction materials (silt, sand, etc.)</t>
  </si>
  <si>
    <r>
      <t>Strike (</t>
    </r>
    <r>
      <rPr>
        <vertAlign val="superscript"/>
        <sz val="7"/>
        <rFont val="Arial"/>
        <family val="2"/>
      </rPr>
      <t xml:space="preserve"> o </t>
    </r>
    <r>
      <rPr>
        <sz val="7"/>
        <rFont val="Arial"/>
        <family val="2"/>
      </rPr>
      <t>) =</t>
    </r>
  </si>
  <si>
    <r>
      <t>Dip (</t>
    </r>
    <r>
      <rPr>
        <vertAlign val="superscript"/>
        <sz val="7"/>
        <rFont val="Arial"/>
        <family val="2"/>
      </rPr>
      <t xml:space="preserve"> o </t>
    </r>
    <r>
      <rPr>
        <sz val="7"/>
        <rFont val="Arial"/>
        <family val="2"/>
      </rPr>
      <t>) =</t>
    </r>
  </si>
  <si>
    <t>slightly jointed</t>
  </si>
  <si>
    <t>Joint dimensions</t>
  </si>
  <si>
    <t>very unfavour.</t>
  </si>
  <si>
    <t>1. Input parameters for jointed rock masses (between zones)</t>
  </si>
  <si>
    <t xml:space="preserve">4. Support calculations </t>
  </si>
  <si>
    <t>wall height/ ESR =</t>
  </si>
  <si>
    <t>90-100</t>
  </si>
  <si>
    <t>75-90</t>
  </si>
  <si>
    <t>50-75</t>
  </si>
  <si>
    <t>25-50</t>
  </si>
  <si>
    <t>10-25</t>
  </si>
  <si>
    <t>A. Clean joint</t>
  </si>
  <si>
    <t>B. Filled joint</t>
  </si>
  <si>
    <r>
      <t xml:space="preserve">Tz </t>
    </r>
    <r>
      <rPr>
        <sz val="5"/>
        <color rgb="FF000000"/>
        <rFont val="Arial"/>
        <family val="2"/>
      </rPr>
      <t>(m)</t>
    </r>
    <r>
      <rPr>
        <sz val="7"/>
        <color indexed="8"/>
        <rFont val="Arial"/>
        <family val="2"/>
      </rPr>
      <t xml:space="preserve"> =</t>
    </r>
  </si>
  <si>
    <r>
      <t>Vb</t>
    </r>
    <r>
      <rPr>
        <vertAlign val="subscript"/>
        <sz val="7"/>
        <color rgb="FF000000"/>
        <rFont val="Arial"/>
        <family val="2"/>
      </rPr>
      <t>z</t>
    </r>
    <r>
      <rPr>
        <sz val="7"/>
        <color indexed="8"/>
        <rFont val="Arial"/>
        <family val="2"/>
      </rPr>
      <t xml:space="preserve"> </t>
    </r>
    <r>
      <rPr>
        <sz val="6"/>
        <color rgb="FF000000"/>
        <rFont val="Arial"/>
        <family val="2"/>
      </rPr>
      <t>(dm</t>
    </r>
    <r>
      <rPr>
        <vertAlign val="superscript"/>
        <sz val="6"/>
        <color rgb="FF000000"/>
        <rFont val="Arial"/>
        <family val="2"/>
      </rPr>
      <t xml:space="preserve">3 </t>
    </r>
    <r>
      <rPr>
        <sz val="6"/>
        <color rgb="FF000000"/>
        <rFont val="Arial"/>
        <family val="2"/>
      </rPr>
      <t>)</t>
    </r>
    <r>
      <rPr>
        <sz val="7"/>
        <color indexed="8"/>
        <rFont val="Arial"/>
        <family val="2"/>
      </rPr>
      <t xml:space="preserve"> =</t>
    </r>
  </si>
  <si>
    <t xml:space="preserve">Type of weakness zone </t>
  </si>
  <si>
    <t>few random</t>
  </si>
  <si>
    <t>1  set+random</t>
  </si>
  <si>
    <t>2 sets+random</t>
  </si>
  <si>
    <t>3 sets+random</t>
  </si>
  <si>
    <t>&gt; 4 joint sets</t>
  </si>
  <si>
    <t>filled joint</t>
  </si>
  <si>
    <t xml:space="preserve"> for filled joint</t>
  </si>
  <si>
    <t>healed joint</t>
  </si>
  <si>
    <t>parting</t>
  </si>
  <si>
    <t>0.3-1 m joint</t>
  </si>
  <si>
    <t>1-3 m joint</t>
  </si>
  <si>
    <t>3-10 m joint</t>
  </si>
  <si>
    <t>closed</t>
  </si>
  <si>
    <t>0.1-1 mm</t>
  </si>
  <si>
    <t>1-5 mm gap</t>
  </si>
  <si>
    <t>&lt; 5 mm gap</t>
  </si>
  <si>
    <t>flowing water</t>
  </si>
  <si>
    <t>inburst</t>
  </si>
  <si>
    <t>very low stress</t>
  </si>
  <si>
    <t>heavy squeeze</t>
  </si>
  <si>
    <t>Large blocks</t>
  </si>
  <si>
    <t>Very large blocks</t>
  </si>
  <si>
    <t>moderate burst</t>
  </si>
  <si>
    <t>mod. slabbing</t>
  </si>
  <si>
    <t>(see 'Parameter tables')</t>
  </si>
  <si>
    <t>Approximate fragment size</t>
  </si>
  <si>
    <t>SRF adjust for walls &gt; 10m</t>
  </si>
  <si>
    <t>b =</t>
  </si>
  <si>
    <t>fs =</t>
  </si>
  <si>
    <t xml:space="preserve">        RMi system </t>
  </si>
  <si>
    <t>Excav. type:</t>
  </si>
  <si>
    <t>ESR value:</t>
  </si>
  <si>
    <t>Crushed</t>
  </si>
  <si>
    <t>Broken /small blocks</t>
  </si>
  <si>
    <t xml:space="preserve"> Degree of</t>
  </si>
  <si>
    <t>The degree of weathering is only used as information on the rock condition. Rocks in or near the terrain surface show often some weathering</t>
  </si>
  <si>
    <t xml:space="preserve">RQD and joint spacing (Sa) will be calculated from Vb if only input of Vb or DJ is given. </t>
  </si>
  <si>
    <t>in zones Jr= 1</t>
  </si>
  <si>
    <t>except occasional spot bolting</t>
  </si>
  <si>
    <t xml:space="preserve"> - RQD</t>
  </si>
  <si>
    <t xml:space="preserve"> - Block size</t>
  </si>
  <si>
    <t>Rock quality designation</t>
  </si>
  <si>
    <t>Block volume</t>
  </si>
  <si>
    <t>Block shape</t>
  </si>
  <si>
    <t>Equations used</t>
  </si>
  <si>
    <t>D 45/6+2  Ø16 - 20</t>
  </si>
  <si>
    <t>Si 30/6  Ø16 - 20</t>
  </si>
  <si>
    <t>D 55/6+4  Ø20</t>
  </si>
  <si>
    <t xml:space="preserve">The Q support diagram used in the rock support estimates (The RRS (ribs) of the NGI support diagram of 2015 have been adjusted) </t>
  </si>
  <si>
    <t>high DJ</t>
  </si>
  <si>
    <t>moderate DJ</t>
  </si>
  <si>
    <t>low DJ</t>
  </si>
  <si>
    <t xml:space="preserve">Help to characterize joint or zone orientation </t>
  </si>
  <si>
    <t>support</t>
  </si>
  <si>
    <t>Unknown type</t>
  </si>
  <si>
    <t>unknown type</t>
  </si>
  <si>
    <t xml:space="preserve">INPUT </t>
  </si>
  <si>
    <r>
      <t xml:space="preserve">The RMR support table </t>
    </r>
    <r>
      <rPr>
        <sz val="10"/>
        <rFont val="Arial"/>
        <family val="2"/>
      </rPr>
      <t>(for tunnels with 10 m span)</t>
    </r>
  </si>
  <si>
    <t>Gc = Ground quality in RMi system = RMi x SL / GW</t>
  </si>
  <si>
    <t>(in roof)</t>
  </si>
  <si>
    <t xml:space="preserve">Joint orientation </t>
  </si>
  <si>
    <t>cubical</t>
  </si>
  <si>
    <t>slightly long or flat</t>
  </si>
  <si>
    <t>mod. long or flat</t>
  </si>
  <si>
    <t>very long or flat</t>
  </si>
  <si>
    <r>
      <rPr>
        <b/>
        <sz val="8"/>
        <color rgb="FF000000"/>
        <rFont val="Arial"/>
        <family val="2"/>
      </rPr>
      <t>B.</t>
    </r>
    <r>
      <rPr>
        <sz val="8"/>
        <color indexed="8"/>
        <rFont val="Arial"/>
        <family val="2"/>
      </rPr>
      <t xml:space="preserve">  Road and railway tunnels</t>
    </r>
  </si>
  <si>
    <r>
      <rPr>
        <b/>
        <sz val="8"/>
        <color rgb="FF000000"/>
        <rFont val="Arial"/>
        <family val="2"/>
      </rPr>
      <t>A.</t>
    </r>
    <r>
      <rPr>
        <sz val="8"/>
        <color indexed="8"/>
        <rFont val="Arial"/>
        <family val="2"/>
      </rPr>
      <t xml:space="preserve">  Water tunnels</t>
    </r>
  </si>
  <si>
    <r>
      <rPr>
        <b/>
        <sz val="8"/>
        <color rgb="FF000000"/>
        <rFont val="Arial"/>
        <family val="2"/>
      </rPr>
      <t xml:space="preserve">C.  </t>
    </r>
    <r>
      <rPr>
        <sz val="8"/>
        <color indexed="8"/>
        <rFont val="Arial"/>
        <family val="2"/>
      </rPr>
      <t>Underground hydropower caverns</t>
    </r>
  </si>
  <si>
    <r>
      <rPr>
        <b/>
        <sz val="8"/>
        <color rgb="FF000000"/>
        <rFont val="Arial"/>
        <family val="2"/>
      </rPr>
      <t>D.</t>
    </r>
    <r>
      <rPr>
        <sz val="8"/>
        <color indexed="8"/>
        <rFont val="Arial"/>
        <family val="2"/>
      </rPr>
      <t xml:space="preserve">  Underground railway stations</t>
    </r>
  </si>
  <si>
    <t>Groundwater condition</t>
  </si>
  <si>
    <t>2. Further calculations of jointed rock masses</t>
  </si>
  <si>
    <t>(for weak zones, SL = 1)</t>
  </si>
  <si>
    <t>Jw   given                               in Q system</t>
  </si>
  <si>
    <t xml:space="preserve">soft filling  </t>
  </si>
  <si>
    <r>
      <t>RQD (</t>
    </r>
    <r>
      <rPr>
        <sz val="5"/>
        <color rgb="FF000000"/>
        <rFont val="Arial"/>
        <family val="2"/>
      </rPr>
      <t>from</t>
    </r>
    <r>
      <rPr>
        <sz val="7"/>
        <color rgb="FFFF0000"/>
        <rFont val="Arial"/>
        <family val="2"/>
      </rPr>
      <t xml:space="preserve"> </t>
    </r>
    <r>
      <rPr>
        <sz val="6"/>
        <color rgb="FFFF0000"/>
        <rFont val="Arial"/>
        <family val="2"/>
      </rPr>
      <t>Jv</t>
    </r>
    <r>
      <rPr>
        <sz val="7"/>
        <color indexed="8"/>
        <rFont val="Arial"/>
        <family val="2"/>
      </rPr>
      <t xml:space="preserve">) </t>
    </r>
    <r>
      <rPr>
        <sz val="7"/>
        <color indexed="8"/>
        <rFont val="Calibri"/>
        <family val="2"/>
      </rPr>
      <t>≈</t>
    </r>
  </si>
  <si>
    <r>
      <t>RQD (</t>
    </r>
    <r>
      <rPr>
        <sz val="5"/>
        <color rgb="FF000000"/>
        <rFont val="Arial"/>
        <family val="2"/>
      </rPr>
      <t>from</t>
    </r>
    <r>
      <rPr>
        <sz val="7"/>
        <color rgb="FF0000CC"/>
        <rFont val="Arial"/>
        <family val="2"/>
      </rPr>
      <t xml:space="preserve"> </t>
    </r>
    <r>
      <rPr>
        <sz val="6"/>
        <color rgb="FF0000CC"/>
        <rFont val="Arial"/>
        <family val="2"/>
      </rPr>
      <t>Vb</t>
    </r>
    <r>
      <rPr>
        <sz val="7"/>
        <color indexed="8"/>
        <rFont val="Arial"/>
        <family val="2"/>
      </rPr>
      <t>) ≈</t>
    </r>
  </si>
  <si>
    <r>
      <rPr>
        <sz val="7"/>
        <color rgb="FF0000CC"/>
        <rFont val="Arial"/>
        <family val="2"/>
      </rPr>
      <t>Vb</t>
    </r>
    <r>
      <rPr>
        <sz val="7"/>
        <color indexed="8"/>
        <rFont val="Arial"/>
        <family val="2"/>
      </rPr>
      <t xml:space="preserve"> (</t>
    </r>
    <r>
      <rPr>
        <sz val="5"/>
        <color rgb="FF000000"/>
        <rFont val="Arial"/>
        <family val="2"/>
      </rPr>
      <t>from</t>
    </r>
    <r>
      <rPr>
        <sz val="7"/>
        <color indexed="8"/>
        <rFont val="Arial"/>
        <family val="2"/>
      </rPr>
      <t xml:space="preserve"> </t>
    </r>
    <r>
      <rPr>
        <sz val="6"/>
        <color rgb="FF000000"/>
        <rFont val="Arial"/>
        <family val="2"/>
      </rPr>
      <t>RQD</t>
    </r>
    <r>
      <rPr>
        <sz val="7"/>
        <color indexed="8"/>
        <rFont val="Arial"/>
        <family val="2"/>
      </rPr>
      <t>) ≈</t>
    </r>
  </si>
  <si>
    <r>
      <rPr>
        <sz val="7"/>
        <color rgb="FFFF0000"/>
        <rFont val="Arial"/>
        <family val="2"/>
      </rPr>
      <t xml:space="preserve">Jv </t>
    </r>
    <r>
      <rPr>
        <sz val="7"/>
        <color indexed="8"/>
        <rFont val="Arial"/>
        <family val="2"/>
      </rPr>
      <t>(</t>
    </r>
    <r>
      <rPr>
        <sz val="5"/>
        <color rgb="FF000000"/>
        <rFont val="Arial"/>
        <family val="2"/>
      </rPr>
      <t>from</t>
    </r>
    <r>
      <rPr>
        <sz val="7"/>
        <color indexed="8"/>
        <rFont val="Arial"/>
        <family val="2"/>
      </rPr>
      <t xml:space="preserve"> </t>
    </r>
    <r>
      <rPr>
        <sz val="6"/>
        <color rgb="FF000000"/>
        <rFont val="Arial"/>
        <family val="2"/>
      </rPr>
      <t>RQD</t>
    </r>
    <r>
      <rPr>
        <sz val="7"/>
        <color indexed="8"/>
        <rFont val="Arial"/>
        <family val="2"/>
      </rPr>
      <t>) ≈</t>
    </r>
  </si>
  <si>
    <t xml:space="preserve"> RQD ≈ 110-2.5Jv</t>
  </si>
  <si>
    <r>
      <t xml:space="preserve"> RQD ≈ 110-2.5*(Vb/</t>
    </r>
    <r>
      <rPr>
        <sz val="6"/>
        <color rgb="FF000000"/>
        <rFont val="Symbol"/>
        <family val="1"/>
        <charset val="2"/>
      </rPr>
      <t>b</t>
    </r>
    <r>
      <rPr>
        <sz val="6"/>
        <color indexed="8"/>
        <rFont val="Arial"/>
        <family val="2"/>
      </rPr>
      <t>)</t>
    </r>
    <r>
      <rPr>
        <vertAlign val="superscript"/>
        <sz val="6"/>
        <color rgb="FF000000"/>
        <rFont val="Arial"/>
        <family val="2"/>
      </rPr>
      <t>-1/3</t>
    </r>
  </si>
  <si>
    <r>
      <t xml:space="preserve"> Vb ≈ </t>
    </r>
    <r>
      <rPr>
        <sz val="6"/>
        <color rgb="FF000000"/>
        <rFont val="Symbol"/>
        <family val="1"/>
        <charset val="2"/>
      </rPr>
      <t>b</t>
    </r>
    <r>
      <rPr>
        <sz val="6"/>
        <color indexed="8"/>
        <rFont val="Arial"/>
        <family val="2"/>
      </rPr>
      <t>*(44-RQD/2.5)</t>
    </r>
    <r>
      <rPr>
        <vertAlign val="superscript"/>
        <sz val="6"/>
        <color rgb="FF000000"/>
        <rFont val="Arial"/>
        <family val="2"/>
      </rPr>
      <t>-3</t>
    </r>
  </si>
  <si>
    <r>
      <t xml:space="preserve"> Vb ≈ </t>
    </r>
    <r>
      <rPr>
        <sz val="6"/>
        <color rgb="FF000000"/>
        <rFont val="Symbol"/>
        <family val="1"/>
        <charset val="2"/>
      </rPr>
      <t>b</t>
    </r>
    <r>
      <rPr>
        <sz val="6"/>
        <color indexed="8"/>
        <rFont val="Arial"/>
        <family val="2"/>
      </rPr>
      <t>*Jv</t>
    </r>
    <r>
      <rPr>
        <vertAlign val="superscript"/>
        <sz val="6"/>
        <color rgb="FF000000"/>
        <rFont val="Arial"/>
        <family val="2"/>
      </rPr>
      <t>-3</t>
    </r>
  </si>
  <si>
    <r>
      <t xml:space="preserve"> Jv ≈ (Vb/</t>
    </r>
    <r>
      <rPr>
        <sz val="6"/>
        <color rgb="FF000000"/>
        <rFont val="Symbol"/>
        <family val="1"/>
        <charset val="2"/>
      </rPr>
      <t>b</t>
    </r>
    <r>
      <rPr>
        <sz val="6"/>
        <color indexed="8"/>
        <rFont val="Arial"/>
        <family val="2"/>
      </rPr>
      <t>)</t>
    </r>
    <r>
      <rPr>
        <vertAlign val="superscript"/>
        <sz val="6"/>
        <color rgb="FF000000"/>
        <rFont val="Arial"/>
        <family val="2"/>
      </rPr>
      <t>-1/3</t>
    </r>
  </si>
  <si>
    <t xml:space="preserve"> Jv ≈ 44-RQD/2.5</t>
  </si>
  <si>
    <t xml:space="preserve">  jointing</t>
  </si>
  <si>
    <r>
      <t xml:space="preserve">RQD  </t>
    </r>
    <r>
      <rPr>
        <sz val="7"/>
        <color rgb="FF000000"/>
        <rFont val="Calibri"/>
        <family val="2"/>
        <scheme val="minor"/>
      </rPr>
      <t>=</t>
    </r>
  </si>
  <si>
    <r>
      <t xml:space="preserve">Vb </t>
    </r>
    <r>
      <rPr>
        <sz val="6"/>
        <color rgb="FF0000CC"/>
        <rFont val="Arial"/>
        <family val="2"/>
      </rPr>
      <t xml:space="preserve"> (in dm</t>
    </r>
    <r>
      <rPr>
        <vertAlign val="superscript"/>
        <sz val="6"/>
        <color rgb="FF0000CC"/>
        <rFont val="Arial"/>
        <family val="2"/>
      </rPr>
      <t>3</t>
    </r>
    <r>
      <rPr>
        <sz val="6"/>
        <color rgb="FF0000CC"/>
        <rFont val="Arial"/>
        <family val="2"/>
      </rPr>
      <t xml:space="preserve">) </t>
    </r>
    <r>
      <rPr>
        <sz val="7"/>
        <color rgb="FF0000CC"/>
        <rFont val="Arial"/>
        <family val="2"/>
      </rPr>
      <t>=</t>
    </r>
  </si>
  <si>
    <r>
      <t xml:space="preserve">Jv </t>
    </r>
    <r>
      <rPr>
        <sz val="7"/>
        <color rgb="FFFF0000"/>
        <rFont val="Calibri"/>
        <family val="2"/>
        <scheme val="minor"/>
      </rPr>
      <t xml:space="preserve"> =</t>
    </r>
  </si>
  <si>
    <r>
      <t>b</t>
    </r>
    <r>
      <rPr>
        <vertAlign val="superscript"/>
        <sz val="7"/>
        <color rgb="FF000000"/>
        <rFont val="Symbol"/>
        <family val="1"/>
        <charset val="2"/>
      </rPr>
      <t>*)</t>
    </r>
    <r>
      <rPr>
        <sz val="7"/>
        <color rgb="FF000000"/>
        <rFont val="Symbol"/>
        <family val="1"/>
        <charset val="2"/>
      </rPr>
      <t xml:space="preserve"> </t>
    </r>
    <r>
      <rPr>
        <sz val="7"/>
        <color rgb="FF000000"/>
        <rFont val="Calibri"/>
        <family val="2"/>
        <scheme val="minor"/>
      </rPr>
      <t xml:space="preserve"> =</t>
    </r>
  </si>
  <si>
    <r>
      <rPr>
        <b/>
        <sz val="8"/>
        <color rgb="FF000000"/>
        <rFont val="Arial"/>
        <family val="2"/>
      </rPr>
      <t xml:space="preserve">Table III:  Information on RRS </t>
    </r>
    <r>
      <rPr>
        <sz val="7"/>
        <color rgb="FF000000"/>
        <rFont val="Arial"/>
        <family val="2"/>
      </rPr>
      <t>in Q system</t>
    </r>
  </si>
  <si>
    <r>
      <rPr>
        <sz val="7"/>
        <color rgb="FF000000"/>
        <rFont val="Arial"/>
        <family val="2"/>
      </rPr>
      <t>SL</t>
    </r>
    <r>
      <rPr>
        <vertAlign val="subscript"/>
        <sz val="5"/>
        <color rgb="FF000000"/>
        <rFont val="Arial"/>
        <family val="2"/>
      </rPr>
      <t xml:space="preserve"> </t>
    </r>
    <r>
      <rPr>
        <sz val="5"/>
        <color rgb="FF000000"/>
        <rFont val="Arial"/>
        <family val="2"/>
      </rPr>
      <t xml:space="preserve">or </t>
    </r>
    <r>
      <rPr>
        <sz val="7"/>
        <color rgb="FF000000"/>
        <rFont val="Arial"/>
        <family val="2"/>
      </rPr>
      <t>SRF</t>
    </r>
    <r>
      <rPr>
        <vertAlign val="subscript"/>
        <sz val="7"/>
        <color rgb="FF000000"/>
        <rFont val="Arial"/>
        <family val="2"/>
      </rPr>
      <t>s</t>
    </r>
    <r>
      <rPr>
        <sz val="7"/>
        <color rgb="FF000000"/>
        <rFont val="Arial"/>
        <family val="2"/>
      </rPr>
      <t xml:space="preserve"> =</t>
    </r>
  </si>
  <si>
    <t>Special</t>
  </si>
  <si>
    <t>designed →</t>
  </si>
  <si>
    <t>Support capacity table</t>
  </si>
  <si>
    <t>from E. Hoek (1998): Tunnel support in weak rock. Keynote address, Symposium of Sedimentary Rock Engineering,</t>
  </si>
  <si>
    <t>Taipei, Taiwan, November 20-22, 1998</t>
  </si>
  <si>
    <t>Hoek and Brown (1980) and Brady and Brown (1985) have published equations that can be used to calculate the capacity of mechanically anchored rockbolts, shotcrete or concrete linings or steel sets for a circular tunnel.</t>
  </si>
  <si>
    <t xml:space="preserve">Typical support pressures for a variety of different systems for a range of tunnel sizes are plotted in the chart above. </t>
  </si>
  <si>
    <t>It must be emphasised that these support pressures are derived from idealised calculations for a circular tunnel and that great care has to be used in ap- plying these values to actual problems. As illustrated in the practical examples presented later, these support estimates provide a useful starting point in a tunnel support design evaluation, but it is necessary to check the details of this design by numerical analysis.</t>
  </si>
  <si>
    <t>Note that all of the support pressures in the chart have been plotted for steel set or rockbolt spacings of 1 m and that, in order to determine the support pressures for other spacings, the equations given for each support type should be used. When support types are combined, the total available support pressure can be estimated by summing the maximum allowable pressures for each system. However, in making this assumption, it has to be realised that these support systems do not necessarily act at the same time and that it may be necessary to check the compatibility of the systems in terms of deformation. For example, if steel sets embedded in shotcrete are installed immediately behind the tunnel face, the steel sets will accept load immediately while the shotcrete will accept an increasing amount of load as it hardens (compare curves for 50 mm shotcrete lining with various ages (i.e. strength) in the chart). Depending on the rate of advance of the tunnel, it may be necessary to check that the capacity of the steel sets is not exceeded before the shotcrete has hardened to the extent that it can carry its full share of the load.</t>
  </si>
  <si>
    <t>F I E L D    O B S E R V A T I O N S</t>
  </si>
  <si>
    <t>at tunnel face</t>
  </si>
  <si>
    <t>of outcrop</t>
  </si>
  <si>
    <t>in tunnel</t>
  </si>
  <si>
    <t>of drill cores</t>
  </si>
  <si>
    <r>
      <t>Block shape factor  (</t>
    </r>
    <r>
      <rPr>
        <b/>
        <sz val="8"/>
        <rFont val="Symbol"/>
        <family val="1"/>
        <charset val="2"/>
      </rPr>
      <t>b</t>
    </r>
    <r>
      <rPr>
        <b/>
        <sz val="8"/>
        <rFont val="Arial"/>
        <family val="2"/>
      </rPr>
      <t>)</t>
    </r>
  </si>
  <si>
    <r>
      <t>Block shape factor (</t>
    </r>
    <r>
      <rPr>
        <sz val="8.0500000000000007"/>
        <rFont val="Symbol"/>
        <family val="1"/>
        <charset val="2"/>
      </rPr>
      <t>b</t>
    </r>
    <r>
      <rPr>
        <sz val="7"/>
        <rFont val="Arial"/>
        <family val="2"/>
      </rPr>
      <t>) is used in the calculations of block size (Vb), volumetric joint count (Jv), and RQD</t>
    </r>
  </si>
  <si>
    <t>INFORMATION</t>
  </si>
  <si>
    <t>- Vol. joint count</t>
  </si>
  <si>
    <r>
      <t>Strike / dip (</t>
    </r>
    <r>
      <rPr>
        <vertAlign val="superscript"/>
        <sz val="7"/>
        <rFont val="Arial"/>
        <family val="2"/>
      </rPr>
      <t xml:space="preserve"> o </t>
    </r>
    <r>
      <rPr>
        <sz val="7"/>
        <rFont val="Arial"/>
        <family val="2"/>
      </rPr>
      <t xml:space="preserve">) </t>
    </r>
    <r>
      <rPr>
        <sz val="7"/>
        <rFont val="Calibri"/>
        <family val="2"/>
      </rPr>
      <t>→</t>
    </r>
  </si>
  <si>
    <r>
      <t>RQD</t>
    </r>
    <r>
      <rPr>
        <sz val="5"/>
        <color theme="0" tint="-0.249977111117893"/>
        <rFont val="Calibri"/>
        <family val="2"/>
        <scheme val="minor"/>
      </rPr>
      <t xml:space="preserve"> used</t>
    </r>
    <r>
      <rPr>
        <sz val="8"/>
        <color theme="0" tint="-0.249977111117893"/>
        <rFont val="Calibri"/>
        <family val="2"/>
        <scheme val="minor"/>
      </rPr>
      <t xml:space="preserve"> =</t>
    </r>
  </si>
  <si>
    <r>
      <t>Jn</t>
    </r>
    <r>
      <rPr>
        <sz val="7"/>
        <color theme="0" tint="-0.249977111117893"/>
        <rFont val="Calibri"/>
        <family val="2"/>
        <scheme val="minor"/>
      </rPr>
      <t xml:space="preserve"> </t>
    </r>
    <r>
      <rPr>
        <vertAlign val="subscript"/>
        <sz val="7"/>
        <color theme="0" tint="-0.249977111117893"/>
        <rFont val="Calibri"/>
        <family val="2"/>
        <scheme val="minor"/>
      </rPr>
      <t>used</t>
    </r>
    <r>
      <rPr>
        <sz val="8"/>
        <color theme="0" tint="-0.249977111117893"/>
        <rFont val="Calibri"/>
        <family val="2"/>
        <scheme val="minor"/>
      </rPr>
      <t xml:space="preserve"> =</t>
    </r>
  </si>
  <si>
    <r>
      <t>Jr</t>
    </r>
    <r>
      <rPr>
        <vertAlign val="subscript"/>
        <sz val="8"/>
        <color theme="0" tint="-0.249977111117893"/>
        <rFont val="Calibri"/>
        <family val="2"/>
        <scheme val="minor"/>
      </rPr>
      <t xml:space="preserve"> </t>
    </r>
    <r>
      <rPr>
        <vertAlign val="subscript"/>
        <sz val="7"/>
        <color theme="0" tint="-0.249977111117893"/>
        <rFont val="Calibri"/>
        <family val="2"/>
        <scheme val="minor"/>
      </rPr>
      <t>used</t>
    </r>
    <r>
      <rPr>
        <sz val="7"/>
        <color theme="0" tint="-0.249977111117893"/>
        <rFont val="Calibri"/>
        <family val="2"/>
        <scheme val="minor"/>
      </rPr>
      <t xml:space="preserve"> </t>
    </r>
    <r>
      <rPr>
        <sz val="8"/>
        <color theme="0" tint="-0.249977111117893"/>
        <rFont val="Calibri"/>
        <family val="2"/>
        <scheme val="minor"/>
      </rPr>
      <t>=</t>
    </r>
  </si>
  <si>
    <r>
      <t>Ja</t>
    </r>
    <r>
      <rPr>
        <sz val="7"/>
        <color theme="0" tint="-0.249977111117893"/>
        <rFont val="Calibri"/>
        <family val="2"/>
        <scheme val="minor"/>
      </rPr>
      <t xml:space="preserve"> </t>
    </r>
    <r>
      <rPr>
        <sz val="5"/>
        <color theme="0" tint="-0.249977111117893"/>
        <rFont val="Calibri"/>
        <family val="2"/>
        <scheme val="minor"/>
      </rPr>
      <t>used</t>
    </r>
    <r>
      <rPr>
        <sz val="8"/>
        <color theme="0" tint="-0.249977111117893"/>
        <rFont val="Calibri"/>
        <family val="2"/>
        <scheme val="minor"/>
      </rPr>
      <t xml:space="preserve"> =</t>
    </r>
  </si>
  <si>
    <r>
      <t>SRF</t>
    </r>
    <r>
      <rPr>
        <vertAlign val="subscript"/>
        <sz val="7"/>
        <color theme="0" tint="-0.249977111117893"/>
        <rFont val="Calibri"/>
        <family val="2"/>
        <scheme val="minor"/>
      </rPr>
      <t xml:space="preserve">stress </t>
    </r>
    <r>
      <rPr>
        <sz val="7"/>
        <color theme="0" tint="-0.249977111117893"/>
        <rFont val="Calibri"/>
        <family val="2"/>
        <scheme val="minor"/>
      </rPr>
      <t>→</t>
    </r>
  </si>
  <si>
    <r>
      <t>← SRF</t>
    </r>
    <r>
      <rPr>
        <vertAlign val="subscript"/>
        <sz val="8"/>
        <color theme="0" tint="-0.249977111117893"/>
        <rFont val="Calibri"/>
        <family val="2"/>
        <scheme val="minor"/>
      </rPr>
      <t xml:space="preserve"> zone</t>
    </r>
  </si>
  <si>
    <r>
      <t>SRF</t>
    </r>
    <r>
      <rPr>
        <vertAlign val="subscript"/>
        <sz val="7"/>
        <color theme="0" tint="-0.249977111117893"/>
        <rFont val="Calibri"/>
        <family val="2"/>
        <scheme val="minor"/>
      </rPr>
      <t>wall</t>
    </r>
    <r>
      <rPr>
        <sz val="7"/>
        <color theme="0" tint="-0.249977111117893"/>
        <rFont val="Calibri"/>
        <family val="2"/>
        <scheme val="minor"/>
      </rPr>
      <t xml:space="preserve"> =</t>
    </r>
  </si>
  <si>
    <r>
      <t xml:space="preserve">GPa   </t>
    </r>
    <r>
      <rPr>
        <sz val="7"/>
        <color theme="0" tint="-0.249977111117893"/>
        <rFont val="Arial"/>
        <family val="2"/>
      </rPr>
      <t>(for Q &gt; 1)</t>
    </r>
  </si>
  <si>
    <r>
      <t xml:space="preserve">A3 </t>
    </r>
    <r>
      <rPr>
        <sz val="6"/>
        <color theme="0" tint="-0.249977111117893"/>
        <rFont val="Calibri"/>
        <family val="2"/>
        <scheme val="minor"/>
      </rPr>
      <t>used</t>
    </r>
    <r>
      <rPr>
        <sz val="8"/>
        <color theme="0" tint="-0.249977111117893"/>
        <rFont val="Calibri"/>
        <family val="2"/>
        <scheme val="minor"/>
      </rPr>
      <t xml:space="preserve"> =</t>
    </r>
  </si>
  <si>
    <r>
      <rPr>
        <sz val="8"/>
        <color theme="0" tint="-0.249977111117893"/>
        <rFont val="Calibri"/>
        <family val="2"/>
        <scheme val="minor"/>
      </rPr>
      <t xml:space="preserve">Infilling+weathering </t>
    </r>
    <r>
      <rPr>
        <sz val="7"/>
        <color theme="0" tint="-0.249977111117893"/>
        <rFont val="Calibri"/>
        <family val="2"/>
        <scheme val="minor"/>
      </rPr>
      <t xml:space="preserve"> used =</t>
    </r>
  </si>
  <si>
    <r>
      <t>s</t>
    </r>
    <r>
      <rPr>
        <b/>
        <vertAlign val="subscript"/>
        <sz val="9"/>
        <color theme="0" tint="-0.249977111117893"/>
        <rFont val="Arial"/>
        <family val="2"/>
      </rPr>
      <t>c</t>
    </r>
    <r>
      <rPr>
        <b/>
        <sz val="9"/>
        <color theme="0" tint="-0.249977111117893"/>
        <rFont val="Arial"/>
        <family val="2"/>
      </rPr>
      <t xml:space="preserve"> =</t>
    </r>
  </si>
  <si>
    <r>
      <t>jR</t>
    </r>
    <r>
      <rPr>
        <b/>
        <sz val="7"/>
        <color theme="0" tint="-0.249977111117893"/>
        <rFont val="Calibri"/>
        <family val="2"/>
        <scheme val="minor"/>
      </rPr>
      <t xml:space="preserve"> </t>
    </r>
    <r>
      <rPr>
        <vertAlign val="subscript"/>
        <sz val="7"/>
        <color theme="0" tint="-0.249977111117893"/>
        <rFont val="Calibri"/>
        <family val="2"/>
        <scheme val="minor"/>
      </rPr>
      <t>used</t>
    </r>
    <r>
      <rPr>
        <b/>
        <sz val="8"/>
        <color theme="0" tint="-0.249977111117893"/>
        <rFont val="Calibri"/>
        <family val="2"/>
        <scheme val="minor"/>
      </rPr>
      <t xml:space="preserve"> =</t>
    </r>
  </si>
  <si>
    <r>
      <t>SL</t>
    </r>
    <r>
      <rPr>
        <vertAlign val="subscript"/>
        <sz val="8"/>
        <color theme="0" tint="-0.249977111117893"/>
        <rFont val="Calibri"/>
        <family val="2"/>
        <scheme val="minor"/>
      </rPr>
      <t>wall</t>
    </r>
    <r>
      <rPr>
        <sz val="8"/>
        <color theme="0" tint="-0.249977111117893"/>
        <rFont val="Calibri"/>
        <family val="2"/>
        <scheme val="minor"/>
      </rPr>
      <t xml:space="preserve"> =</t>
    </r>
  </si>
  <si>
    <r>
      <t>jA</t>
    </r>
    <r>
      <rPr>
        <b/>
        <sz val="7"/>
        <color theme="0" tint="-0.249977111117893"/>
        <rFont val="Calibri"/>
        <family val="2"/>
        <scheme val="minor"/>
      </rPr>
      <t xml:space="preserve"> </t>
    </r>
    <r>
      <rPr>
        <sz val="7"/>
        <color theme="0" tint="-0.249977111117893"/>
        <rFont val="Calibri"/>
        <family val="2"/>
        <scheme val="minor"/>
      </rPr>
      <t xml:space="preserve">used </t>
    </r>
    <r>
      <rPr>
        <b/>
        <sz val="8"/>
        <color theme="0" tint="-0.249977111117893"/>
        <rFont val="Calibri"/>
        <family val="2"/>
        <scheme val="minor"/>
      </rPr>
      <t>=</t>
    </r>
  </si>
  <si>
    <r>
      <t>Nj</t>
    </r>
    <r>
      <rPr>
        <b/>
        <sz val="7"/>
        <color theme="0" tint="-0.249977111117893"/>
        <rFont val="Calibri"/>
        <family val="2"/>
        <scheme val="minor"/>
      </rPr>
      <t xml:space="preserve"> </t>
    </r>
    <r>
      <rPr>
        <sz val="7"/>
        <color theme="0" tint="-0.249977111117893"/>
        <rFont val="Calibri"/>
        <family val="2"/>
        <scheme val="minor"/>
      </rPr>
      <t>used</t>
    </r>
    <r>
      <rPr>
        <b/>
        <sz val="8"/>
        <color theme="0" tint="-0.249977111117893"/>
        <rFont val="Calibri"/>
        <family val="2"/>
        <scheme val="minor"/>
      </rPr>
      <t xml:space="preserve"> =</t>
    </r>
  </si>
  <si>
    <r>
      <t>Co</t>
    </r>
    <r>
      <rPr>
        <b/>
        <vertAlign val="subscript"/>
        <sz val="8"/>
        <color theme="0" tint="-0.249977111117893"/>
        <rFont val="Calibri"/>
        <family val="2"/>
        <scheme val="minor"/>
      </rPr>
      <t xml:space="preserve">roof </t>
    </r>
    <r>
      <rPr>
        <b/>
        <sz val="8"/>
        <color theme="0" tint="-0.249977111117893"/>
        <rFont val="Calibri"/>
        <family val="2"/>
        <scheme val="minor"/>
      </rPr>
      <t xml:space="preserve"> =</t>
    </r>
  </si>
  <si>
    <r>
      <t>Co</t>
    </r>
    <r>
      <rPr>
        <b/>
        <vertAlign val="subscript"/>
        <sz val="8"/>
        <color theme="0" tint="-0.249977111117893"/>
        <rFont val="Calibri"/>
        <family val="2"/>
        <scheme val="minor"/>
      </rPr>
      <t>wall</t>
    </r>
    <r>
      <rPr>
        <b/>
        <sz val="8"/>
        <color theme="0" tint="-0.249977111117893"/>
        <rFont val="Calibri"/>
        <family val="2"/>
        <scheme val="minor"/>
      </rPr>
      <t xml:space="preserve"> =</t>
    </r>
  </si>
  <si>
    <r>
      <rPr>
        <sz val="6"/>
        <color theme="0" tint="-0.249977111117893"/>
        <rFont val="Calibri"/>
        <family val="2"/>
        <scheme val="minor"/>
      </rPr>
      <t xml:space="preserve">jointed </t>
    </r>
    <r>
      <rPr>
        <sz val="8"/>
        <color theme="0" tint="-0.249977111117893"/>
        <rFont val="Calibri"/>
        <family val="2"/>
        <scheme val="minor"/>
      </rPr>
      <t>RMi =</t>
    </r>
  </si>
  <si>
    <r>
      <t>Block volume (m</t>
    </r>
    <r>
      <rPr>
        <vertAlign val="superscript"/>
        <sz val="8"/>
        <color theme="0" tint="-0.249977111117893"/>
        <rFont val="Calibri"/>
        <family val="2"/>
        <scheme val="minor"/>
      </rPr>
      <t>3</t>
    </r>
    <r>
      <rPr>
        <sz val="8"/>
        <color theme="0" tint="-0.249977111117893"/>
        <rFont val="Calibri"/>
        <family val="2"/>
        <scheme val="minor"/>
      </rPr>
      <t>)</t>
    </r>
  </si>
  <si>
    <r>
      <rPr>
        <b/>
        <sz val="8"/>
        <color theme="0" tint="-0.249977111117893"/>
        <rFont val="Calibri"/>
        <family val="2"/>
        <scheme val="minor"/>
      </rPr>
      <t>Vb</t>
    </r>
    <r>
      <rPr>
        <sz val="8"/>
        <color theme="0" tint="-0.249977111117893"/>
        <rFont val="Calibri"/>
        <family val="2"/>
        <scheme val="minor"/>
      </rPr>
      <t xml:space="preserve"> </t>
    </r>
    <r>
      <rPr>
        <sz val="6"/>
        <color theme="0" tint="-0.249977111117893"/>
        <rFont val="Calibri"/>
        <family val="2"/>
        <scheme val="minor"/>
      </rPr>
      <t>used</t>
    </r>
    <r>
      <rPr>
        <sz val="8"/>
        <color theme="0" tint="-0.249977111117893"/>
        <rFont val="Calibri"/>
        <family val="2"/>
        <scheme val="minor"/>
      </rPr>
      <t xml:space="preserve"> =</t>
    </r>
  </si>
  <si>
    <r>
      <t>Gc</t>
    </r>
    <r>
      <rPr>
        <b/>
        <vertAlign val="subscript"/>
        <sz val="8"/>
        <color theme="0" tint="-0.249977111117893"/>
        <rFont val="Calibri"/>
        <family val="2"/>
        <scheme val="minor"/>
      </rPr>
      <t>roof</t>
    </r>
  </si>
  <si>
    <r>
      <rPr>
        <sz val="7"/>
        <color theme="0" tint="-0.249977111117893"/>
        <rFont val="Calibri"/>
        <family val="2"/>
        <scheme val="minor"/>
      </rPr>
      <t xml:space="preserve">used </t>
    </r>
    <r>
      <rPr>
        <b/>
        <sz val="8"/>
        <color theme="0" tint="-0.249977111117893"/>
        <rFont val="Calibri"/>
        <family val="2"/>
        <scheme val="minor"/>
      </rPr>
      <t>Gc</t>
    </r>
    <r>
      <rPr>
        <b/>
        <vertAlign val="subscript"/>
        <sz val="8"/>
        <color theme="0" tint="-0.249977111117893"/>
        <rFont val="Calibri"/>
        <family val="2"/>
        <scheme val="minor"/>
      </rPr>
      <t>roof</t>
    </r>
  </si>
  <si>
    <r>
      <t>Gc</t>
    </r>
    <r>
      <rPr>
        <b/>
        <vertAlign val="subscript"/>
        <sz val="8"/>
        <color theme="0" tint="-0.249977111117893"/>
        <rFont val="Calibri"/>
        <family val="2"/>
        <scheme val="minor"/>
      </rPr>
      <t>wall</t>
    </r>
  </si>
  <si>
    <r>
      <rPr>
        <sz val="7"/>
        <color theme="0" tint="-0.249977111117893"/>
        <rFont val="Calibri"/>
        <family val="2"/>
        <scheme val="minor"/>
      </rPr>
      <t xml:space="preserve">used </t>
    </r>
    <r>
      <rPr>
        <b/>
        <sz val="8"/>
        <color theme="0" tint="-0.249977111117893"/>
        <rFont val="Calibri"/>
        <family val="2"/>
        <scheme val="minor"/>
      </rPr>
      <t>Gc</t>
    </r>
    <r>
      <rPr>
        <b/>
        <vertAlign val="subscript"/>
        <sz val="8"/>
        <color theme="0" tint="-0.249977111117893"/>
        <rFont val="Calibri"/>
        <family val="2"/>
        <scheme val="minor"/>
      </rPr>
      <t>wall</t>
    </r>
  </si>
  <si>
    <r>
      <t>Sr</t>
    </r>
    <r>
      <rPr>
        <b/>
        <vertAlign val="subscript"/>
        <sz val="8"/>
        <color theme="0" tint="-0.249977111117893"/>
        <rFont val="Calibri"/>
        <family val="2"/>
        <scheme val="minor"/>
      </rPr>
      <t>roof</t>
    </r>
  </si>
  <si>
    <r>
      <rPr>
        <sz val="7"/>
        <color theme="0" tint="-0.249977111117893"/>
        <rFont val="Calibri"/>
        <family val="2"/>
        <scheme val="minor"/>
      </rPr>
      <t>used</t>
    </r>
    <r>
      <rPr>
        <b/>
        <sz val="8"/>
        <color theme="0" tint="-0.249977111117893"/>
        <rFont val="Calibri"/>
        <family val="2"/>
        <scheme val="minor"/>
      </rPr>
      <t xml:space="preserve"> Sr</t>
    </r>
    <r>
      <rPr>
        <b/>
        <vertAlign val="subscript"/>
        <sz val="8"/>
        <color theme="0" tint="-0.249977111117893"/>
        <rFont val="Calibri"/>
        <family val="2"/>
        <scheme val="minor"/>
      </rPr>
      <t>roof</t>
    </r>
  </si>
  <si>
    <r>
      <t>Sr</t>
    </r>
    <r>
      <rPr>
        <b/>
        <vertAlign val="subscript"/>
        <sz val="8"/>
        <color theme="0" tint="-0.249977111117893"/>
        <rFont val="Calibri"/>
        <family val="2"/>
        <scheme val="minor"/>
      </rPr>
      <t>wall</t>
    </r>
  </si>
  <si>
    <r>
      <rPr>
        <sz val="7"/>
        <color theme="0" tint="-0.249977111117893"/>
        <rFont val="Calibri"/>
        <family val="2"/>
        <scheme val="minor"/>
      </rPr>
      <t>used</t>
    </r>
    <r>
      <rPr>
        <b/>
        <sz val="8"/>
        <color theme="0" tint="-0.249977111117893"/>
        <rFont val="Calibri"/>
        <family val="2"/>
        <scheme val="minor"/>
      </rPr>
      <t xml:space="preserve"> Sr</t>
    </r>
    <r>
      <rPr>
        <b/>
        <vertAlign val="subscript"/>
        <sz val="8"/>
        <color theme="0" tint="-0.249977111117893"/>
        <rFont val="Calibri"/>
        <family val="2"/>
        <scheme val="minor"/>
      </rPr>
      <t>wall</t>
    </r>
  </si>
  <si>
    <r>
      <t>Vb</t>
    </r>
    <r>
      <rPr>
        <vertAlign val="subscript"/>
        <sz val="7"/>
        <color theme="0" tint="-0.249977111117893"/>
        <rFont val="Calibri"/>
        <family val="2"/>
        <scheme val="minor"/>
      </rPr>
      <t xml:space="preserve">z </t>
    </r>
    <r>
      <rPr>
        <sz val="7"/>
        <color theme="0" tint="-0.249977111117893"/>
        <rFont val="Calibri"/>
        <family val="2"/>
        <scheme val="minor"/>
      </rPr>
      <t>=</t>
    </r>
  </si>
  <si>
    <r>
      <t>Db</t>
    </r>
    <r>
      <rPr>
        <vertAlign val="subscript"/>
        <sz val="7"/>
        <color theme="0" tint="-0.249977111117893"/>
        <rFont val="Calibri"/>
        <family val="2"/>
        <scheme val="minor"/>
      </rPr>
      <t>z</t>
    </r>
    <r>
      <rPr>
        <sz val="7"/>
        <color theme="0" tint="-0.249977111117893"/>
        <rFont val="Calibri"/>
        <family val="2"/>
        <scheme val="minor"/>
      </rPr>
      <t xml:space="preserve"> =</t>
    </r>
  </si>
  <si>
    <r>
      <t>Nj</t>
    </r>
    <r>
      <rPr>
        <vertAlign val="subscript"/>
        <sz val="7"/>
        <color theme="0" tint="-0.249977111117893"/>
        <rFont val="Calibri"/>
        <family val="2"/>
        <scheme val="minor"/>
      </rPr>
      <t>z</t>
    </r>
    <r>
      <rPr>
        <sz val="7"/>
        <color theme="0" tint="-0.249977111117893"/>
        <rFont val="Calibri"/>
        <family val="2"/>
        <scheme val="minor"/>
      </rPr>
      <t xml:space="preserve"> =</t>
    </r>
  </si>
  <si>
    <r>
      <t>jC</t>
    </r>
    <r>
      <rPr>
        <vertAlign val="subscript"/>
        <sz val="7"/>
        <color theme="0" tint="-0.249977111117893"/>
        <rFont val="Calibri"/>
        <family val="2"/>
        <scheme val="minor"/>
      </rPr>
      <t>z</t>
    </r>
    <r>
      <rPr>
        <sz val="7"/>
        <color theme="0" tint="-0.249977111117893"/>
        <rFont val="Calibri"/>
        <family val="2"/>
        <scheme val="minor"/>
      </rPr>
      <t xml:space="preserve"> =</t>
    </r>
  </si>
  <si>
    <r>
      <t>Co</t>
    </r>
    <r>
      <rPr>
        <vertAlign val="subscript"/>
        <sz val="8"/>
        <color theme="0" tint="-0.249977111117893"/>
        <rFont val="Calibri"/>
        <family val="2"/>
        <scheme val="minor"/>
      </rPr>
      <t>z</t>
    </r>
    <r>
      <rPr>
        <sz val="8"/>
        <color theme="0" tint="-0.249977111117893"/>
        <rFont val="Calibri"/>
        <family val="2"/>
        <scheme val="minor"/>
      </rPr>
      <t xml:space="preserve"> =</t>
    </r>
  </si>
  <si>
    <r>
      <rPr>
        <sz val="9"/>
        <color theme="0" tint="-0.249977111117893"/>
        <rFont val="Calibri"/>
        <family val="2"/>
        <scheme val="minor"/>
      </rPr>
      <t xml:space="preserve">RMi  </t>
    </r>
    <r>
      <rPr>
        <sz val="8"/>
        <color theme="0" tint="-0.249977111117893"/>
        <rFont val="Calibri"/>
        <family val="2"/>
        <scheme val="minor"/>
      </rPr>
      <t>in  weak zone</t>
    </r>
  </si>
  <si>
    <r>
      <rPr>
        <sz val="7"/>
        <color theme="0" tint="-0.249977111117893"/>
        <rFont val="Calibri"/>
        <family val="2"/>
        <scheme val="minor"/>
      </rPr>
      <t>zone</t>
    </r>
    <r>
      <rPr>
        <sz val="8"/>
        <color theme="0" tint="-0.249977111117893"/>
        <rFont val="Calibri"/>
        <family val="2"/>
        <scheme val="minor"/>
      </rPr>
      <t xml:space="preserve"> RMi</t>
    </r>
    <r>
      <rPr>
        <vertAlign val="subscript"/>
        <sz val="8"/>
        <color theme="0" tint="-0.249977111117893"/>
        <rFont val="Calibri"/>
        <family val="2"/>
        <scheme val="minor"/>
      </rPr>
      <t>z</t>
    </r>
    <r>
      <rPr>
        <sz val="8"/>
        <color theme="0" tint="-0.249977111117893"/>
        <rFont val="Calibri"/>
        <family val="2"/>
        <scheme val="minor"/>
      </rPr>
      <t xml:space="preserve"> =</t>
    </r>
  </si>
  <si>
    <r>
      <rPr>
        <sz val="7"/>
        <color theme="0" tint="-0.249977111117893"/>
        <rFont val="Calibri"/>
        <family val="2"/>
        <scheme val="minor"/>
      </rPr>
      <t>interaction</t>
    </r>
    <r>
      <rPr>
        <sz val="8"/>
        <color theme="0" tint="-0.249977111117893"/>
        <rFont val="Calibri"/>
        <family val="2"/>
        <scheme val="minor"/>
      </rPr>
      <t xml:space="preserve"> RMi</t>
    </r>
    <r>
      <rPr>
        <vertAlign val="subscript"/>
        <sz val="8"/>
        <color theme="0" tint="-0.249977111117893"/>
        <rFont val="Calibri"/>
        <family val="2"/>
        <scheme val="minor"/>
      </rPr>
      <t>m</t>
    </r>
    <r>
      <rPr>
        <sz val="8"/>
        <color theme="0" tint="-0.249977111117893"/>
        <rFont val="Calibri"/>
        <family val="2"/>
        <scheme val="minor"/>
      </rPr>
      <t xml:space="preserve"> =</t>
    </r>
  </si>
  <si>
    <r>
      <t>resulting RMi</t>
    </r>
    <r>
      <rPr>
        <vertAlign val="subscript"/>
        <sz val="7"/>
        <color theme="0" tint="-0.249977111117893"/>
        <rFont val="Calibri"/>
        <family val="2"/>
        <scheme val="minor"/>
      </rPr>
      <t>zone</t>
    </r>
    <r>
      <rPr>
        <sz val="7"/>
        <color theme="0" tint="-0.249977111117893"/>
        <rFont val="Calibri"/>
        <family val="2"/>
        <scheme val="minor"/>
      </rPr>
      <t xml:space="preserve"> =</t>
    </r>
  </si>
  <si>
    <r>
      <rPr>
        <b/>
        <sz val="8"/>
        <color theme="0" tint="-0.249977111117893"/>
        <rFont val="Calibri"/>
        <family val="2"/>
        <scheme val="minor"/>
      </rPr>
      <t>Rockmass deformation modulus</t>
    </r>
    <r>
      <rPr>
        <sz val="8"/>
        <color theme="0" tint="-0.249977111117893"/>
        <rFont val="Calibri"/>
        <family val="2"/>
        <scheme val="minor"/>
      </rPr>
      <t xml:space="preserve">                                     </t>
    </r>
    <r>
      <rPr>
        <sz val="7"/>
        <color theme="0" tint="-0.249977111117893"/>
        <rFont val="Calibri"/>
        <family val="2"/>
        <scheme val="minor"/>
      </rPr>
      <t>(calculated from RMi)</t>
    </r>
  </si>
  <si>
    <r>
      <t xml:space="preserve">GPa </t>
    </r>
    <r>
      <rPr>
        <sz val="6"/>
        <color theme="0" tint="-0.249977111117893"/>
        <rFont val="Calibri"/>
        <family val="2"/>
        <scheme val="minor"/>
      </rPr>
      <t>(new eq. RMi)</t>
    </r>
  </si>
  <si>
    <r>
      <t xml:space="preserve">GPa </t>
    </r>
    <r>
      <rPr>
        <sz val="6"/>
        <color theme="0" tint="-0.249977111117893"/>
        <rFont val="Calibri"/>
        <family val="2"/>
        <scheme val="minor"/>
      </rPr>
      <t>(old eq. RMi )</t>
    </r>
  </si>
  <si>
    <r>
      <t xml:space="preserve">Em </t>
    </r>
    <r>
      <rPr>
        <sz val="6"/>
        <color theme="0" tint="-0.249977111117893"/>
        <rFont val="Calibri"/>
        <family val="2"/>
        <scheme val="minor"/>
      </rPr>
      <t>(max)</t>
    </r>
    <r>
      <rPr>
        <sz val="8"/>
        <color theme="0" tint="-0.249977111117893"/>
        <rFont val="Calibri"/>
        <family val="2"/>
        <scheme val="minor"/>
      </rPr>
      <t xml:space="preserve"> =</t>
    </r>
  </si>
  <si>
    <r>
      <t xml:space="preserve">GPa   </t>
    </r>
    <r>
      <rPr>
        <sz val="7"/>
        <color theme="0" tint="-0.249977111117893"/>
        <rFont val="Calibri"/>
        <family val="2"/>
        <scheme val="minor"/>
      </rPr>
      <t xml:space="preserve"> (Em = 0.2*</t>
    </r>
    <r>
      <rPr>
        <sz val="6"/>
        <color theme="0" tint="-0.249977111117893"/>
        <rFont val="Calibri"/>
        <family val="2"/>
        <scheme val="minor"/>
      </rPr>
      <t>UCS</t>
    </r>
    <r>
      <rPr>
        <sz val="7"/>
        <color theme="0" tint="-0.249977111117893"/>
        <rFont val="Calibri"/>
        <family val="2"/>
        <scheme val="minor"/>
      </rPr>
      <t>)</t>
    </r>
  </si>
  <si>
    <r>
      <t>Average rock UCS</t>
    </r>
    <r>
      <rPr>
        <vertAlign val="subscript"/>
        <sz val="8"/>
        <color theme="0" tint="-0.249977111117893"/>
        <rFont val="Calibri"/>
        <family val="2"/>
        <scheme val="minor"/>
      </rPr>
      <t>z</t>
    </r>
    <r>
      <rPr>
        <sz val="8"/>
        <color theme="0" tint="-0.249977111117893"/>
        <rFont val="Calibri"/>
        <family val="2"/>
        <scheme val="minor"/>
      </rPr>
      <t xml:space="preserve">                           </t>
    </r>
    <r>
      <rPr>
        <sz val="7"/>
        <color theme="0" tint="-0.249977111117893"/>
        <rFont val="Calibri"/>
        <family val="2"/>
        <scheme val="minor"/>
      </rPr>
      <t>(MPa)</t>
    </r>
  </si>
  <si>
    <r>
      <t>Average joint condition factor jC</t>
    </r>
    <r>
      <rPr>
        <vertAlign val="subscript"/>
        <sz val="8"/>
        <color theme="0" tint="-0.249977111117893"/>
        <rFont val="Calibri"/>
        <family val="2"/>
        <scheme val="minor"/>
      </rPr>
      <t>z</t>
    </r>
  </si>
  <si>
    <r>
      <t>Block diam. (Db</t>
    </r>
    <r>
      <rPr>
        <vertAlign val="subscript"/>
        <sz val="8"/>
        <color theme="0" tint="-0.249977111117893"/>
        <rFont val="Calibri"/>
        <family val="2"/>
        <scheme val="minor"/>
      </rPr>
      <t>z</t>
    </r>
    <r>
      <rPr>
        <sz val="8"/>
        <color theme="0" tint="-0.249977111117893"/>
        <rFont val="Calibri"/>
        <family val="2"/>
        <scheme val="minor"/>
      </rPr>
      <t>)</t>
    </r>
  </si>
  <si>
    <r>
      <t>Vb</t>
    </r>
    <r>
      <rPr>
        <b/>
        <vertAlign val="subscript"/>
        <sz val="8"/>
        <color theme="0" tint="-0.249977111117893"/>
        <rFont val="Calibri"/>
        <family val="2"/>
        <scheme val="minor"/>
      </rPr>
      <t>z</t>
    </r>
    <r>
      <rPr>
        <b/>
        <sz val="8"/>
        <color theme="0" tint="-0.249977111117893"/>
        <rFont val="Calibri"/>
        <family val="2"/>
        <scheme val="minor"/>
      </rPr>
      <t xml:space="preserve"> </t>
    </r>
    <r>
      <rPr>
        <sz val="8"/>
        <color theme="0" tint="-0.249977111117893"/>
        <rFont val="Calibri"/>
        <family val="2"/>
        <scheme val="minor"/>
      </rPr>
      <t xml:space="preserve"> ( m³ )</t>
    </r>
  </si>
  <si>
    <r>
      <t>RMi</t>
    </r>
    <r>
      <rPr>
        <b/>
        <vertAlign val="subscript"/>
        <sz val="8"/>
        <color theme="0" tint="-0.249977111117893"/>
        <rFont val="Calibri"/>
        <family val="2"/>
        <scheme val="minor"/>
      </rPr>
      <t>z</t>
    </r>
  </si>
  <si>
    <r>
      <t>Classification of block size (in m</t>
    </r>
    <r>
      <rPr>
        <b/>
        <vertAlign val="superscript"/>
        <sz val="9"/>
        <color theme="0" tint="-0.249977111117893"/>
        <rFont val="Arial"/>
        <family val="2"/>
      </rPr>
      <t xml:space="preserve">3 </t>
    </r>
    <r>
      <rPr>
        <b/>
        <sz val="9"/>
        <color theme="0" tint="-0.249977111117893"/>
        <rFont val="Arial"/>
        <family val="2"/>
      </rPr>
      <t>):</t>
    </r>
  </si>
  <si>
    <t>1 - 1.8</t>
  </si>
  <si>
    <t>1.8 - 3</t>
  </si>
  <si>
    <t>3 - 6</t>
  </si>
  <si>
    <t>6 - 17</t>
  </si>
  <si>
    <t>&gt; 17</t>
  </si>
  <si>
    <t>Slightly long and/or flat blocks</t>
  </si>
  <si>
    <t>Moderately long and/or flat</t>
  </si>
  <si>
    <t>Very long and/or flat blocks</t>
  </si>
  <si>
    <t>Extremely long and/or flat blocks</t>
  </si>
  <si>
    <r>
      <rPr>
        <sz val="8"/>
        <color rgb="FF000000"/>
        <rFont val="Symbol"/>
        <family val="1"/>
        <charset val="2"/>
      </rPr>
      <t>b</t>
    </r>
    <r>
      <rPr>
        <sz val="7"/>
        <color indexed="8"/>
        <rFont val="Arial"/>
        <family val="2"/>
      </rPr>
      <t xml:space="preserve"> =</t>
    </r>
  </si>
  <si>
    <t xml:space="preserve">NOTE: </t>
  </si>
  <si>
    <t>Massive rockmasses occur when block volume Vb &gt;</t>
  </si>
  <si>
    <t>NOTE:</t>
  </si>
  <si>
    <t>Blue numbers and text</t>
  </si>
  <si>
    <t>can be adjusted</t>
  </si>
  <si>
    <t xml:space="preserve">Limitation of RMi: </t>
  </si>
  <si>
    <t>Limitation of RMR:</t>
  </si>
  <si>
    <t>Limitation of Q:</t>
  </si>
  <si>
    <r>
      <rPr>
        <sz val="7"/>
        <rFont val="Symbol"/>
        <family val="1"/>
        <charset val="2"/>
      </rPr>
      <t>b</t>
    </r>
    <r>
      <rPr>
        <sz val="7"/>
        <rFont val="Arial"/>
        <family val="2"/>
      </rPr>
      <t xml:space="preserve"> =</t>
    </r>
  </si>
  <si>
    <t>of zone and adjacent rockmass</t>
  </si>
  <si>
    <t>silt, sand joint fill</t>
  </si>
  <si>
    <t>hard clay joint fill</t>
  </si>
  <si>
    <t>soft clay joint fill</t>
  </si>
  <si>
    <t>swelling clay joint fill</t>
  </si>
  <si>
    <r>
      <t>dm</t>
    </r>
    <r>
      <rPr>
        <vertAlign val="superscript"/>
        <sz val="7"/>
        <color theme="0" tint="-0.249977111117893"/>
        <rFont val="Calibri"/>
        <family val="2"/>
        <scheme val="minor"/>
      </rPr>
      <t>3</t>
    </r>
    <r>
      <rPr>
        <sz val="7"/>
        <color theme="0" tint="-0.249977111117893"/>
        <rFont val="Calibri"/>
        <family val="2"/>
        <scheme val="minor"/>
      </rPr>
      <t xml:space="preserve">          =</t>
    </r>
  </si>
  <si>
    <t>Filled joint materials →</t>
  </si>
  <si>
    <t>(Blue numbers and blue text can be adjusted)</t>
  </si>
  <si>
    <t>and tunnel span &gt;10 m.</t>
  </si>
  <si>
    <t>Used in calculations →</t>
  </si>
  <si>
    <t>Special measures →</t>
  </si>
  <si>
    <t>Blue numbers can be adjusted</t>
  </si>
  <si>
    <t>(no joints in soft fill)</t>
  </si>
  <si>
    <r>
      <t xml:space="preserve">Joint wall smoothness </t>
    </r>
    <r>
      <rPr>
        <sz val="7"/>
        <color indexed="8"/>
        <rFont val="Calibri"/>
        <family val="2"/>
        <scheme val="minor"/>
      </rPr>
      <t>(small scale roughness)  (called 'roughness' in the RMR)</t>
    </r>
  </si>
  <si>
    <r>
      <t xml:space="preserve">Orientation of main joint set </t>
    </r>
    <r>
      <rPr>
        <b/>
        <sz val="7"/>
        <rFont val="Arial"/>
        <family val="2"/>
      </rPr>
      <t xml:space="preserve"> </t>
    </r>
    <r>
      <rPr>
        <sz val="7"/>
        <rFont val="Arial"/>
        <family val="2"/>
      </rPr>
      <t>(C3 in roof; C4 in walls)</t>
    </r>
  </si>
  <si>
    <r>
      <t xml:space="preserve">Joint plane undulation or waviness </t>
    </r>
    <r>
      <rPr>
        <sz val="7"/>
        <color rgb="FF000000"/>
        <rFont val="Arial"/>
        <family val="2"/>
      </rPr>
      <t>(large scale roughness)</t>
    </r>
  </si>
  <si>
    <r>
      <t xml:space="preserve">NOTE: blue </t>
    </r>
    <r>
      <rPr>
        <b/>
        <i/>
        <u/>
        <sz val="9"/>
        <color indexed="12"/>
        <rFont val="Arial"/>
        <family val="2"/>
      </rPr>
      <t>letters</t>
    </r>
    <r>
      <rPr>
        <b/>
        <i/>
        <sz val="9"/>
        <color rgb="FF0000FF"/>
        <rFont val="Arial"/>
        <family val="2"/>
      </rPr>
      <t xml:space="preserve"> and </t>
    </r>
    <r>
      <rPr>
        <b/>
        <i/>
        <u/>
        <sz val="9"/>
        <color indexed="12"/>
        <rFont val="Arial"/>
        <family val="2"/>
      </rPr>
      <t>numbers</t>
    </r>
    <r>
      <rPr>
        <b/>
        <i/>
        <sz val="9"/>
        <color indexed="12"/>
        <rFont val="Arial"/>
        <family val="2"/>
      </rPr>
      <t xml:space="preserve"> can be adjusted</t>
    </r>
  </si>
  <si>
    <r>
      <t>Classification of the block shape factor (</t>
    </r>
    <r>
      <rPr>
        <i/>
        <sz val="10"/>
        <rFont val="Symbol"/>
        <family val="1"/>
        <charset val="2"/>
      </rPr>
      <t>b</t>
    </r>
    <r>
      <rPr>
        <i/>
        <sz val="10"/>
        <rFont val="Arial"/>
        <family val="2"/>
      </rPr>
      <t>)</t>
    </r>
  </si>
  <si>
    <r>
      <t xml:space="preserve">Type of joint </t>
    </r>
    <r>
      <rPr>
        <sz val="7"/>
        <rFont val="Arial"/>
        <family val="2"/>
      </rPr>
      <t xml:space="preserve"> (joint length)</t>
    </r>
  </si>
  <si>
    <r>
      <t xml:space="preserve">Joint aperture  </t>
    </r>
    <r>
      <rPr>
        <sz val="7"/>
        <rFont val="Arial"/>
        <family val="2"/>
      </rPr>
      <t>(separation)</t>
    </r>
  </si>
  <si>
    <t>very high DJ</t>
  </si>
  <si>
    <t>Small blocks</t>
  </si>
  <si>
    <t>highly jointed</t>
  </si>
  <si>
    <t>moder. jointed</t>
  </si>
  <si>
    <r>
      <t xml:space="preserve">Jn </t>
    </r>
    <r>
      <rPr>
        <sz val="5"/>
        <color rgb="FF000000"/>
        <rFont val="Arial"/>
        <family val="2"/>
      </rPr>
      <t>or</t>
    </r>
    <r>
      <rPr>
        <sz val="7"/>
        <color indexed="8"/>
        <rFont val="Arial"/>
        <family val="2"/>
      </rPr>
      <t xml:space="preserve"> Nj =</t>
    </r>
  </si>
  <si>
    <t>is used.</t>
  </si>
  <si>
    <r>
      <t xml:space="preserve"> </t>
    </r>
    <r>
      <rPr>
        <sz val="6"/>
        <rFont val="Arial"/>
        <family val="2"/>
      </rPr>
      <t>( ESR = Excavation Support Ratio )</t>
    </r>
  </si>
  <si>
    <r>
      <t>Co</t>
    </r>
    <r>
      <rPr>
        <sz val="5"/>
        <color rgb="FF000000"/>
        <rFont val="Arial"/>
        <family val="2"/>
      </rPr>
      <t>z</t>
    </r>
    <r>
      <rPr>
        <sz val="7"/>
        <color indexed="8"/>
        <rFont val="Arial"/>
        <family val="2"/>
      </rPr>
      <t xml:space="preserve"> = Orientation of weakness zone</t>
    </r>
  </si>
  <si>
    <r>
      <t>Table: Typical values of the input parameters in weakness (fault) zones determining the rock mass index (RMi</t>
    </r>
    <r>
      <rPr>
        <vertAlign val="subscript"/>
        <sz val="9"/>
        <color theme="1"/>
        <rFont val="Arial"/>
        <family val="2"/>
      </rPr>
      <t>z</t>
    </r>
    <r>
      <rPr>
        <sz val="9"/>
        <color theme="1"/>
        <rFont val="Arial"/>
        <family val="2"/>
      </rPr>
      <t>) for zones</t>
    </r>
  </si>
  <si>
    <t>Unaltered, fresh joint walls  // no filling</t>
  </si>
  <si>
    <t>Coating of cohesive materials (clay, chlorite, etc.)</t>
  </si>
  <si>
    <t>Friction materials (disintegrated rock, sandy materials, etc.)</t>
  </si>
  <si>
    <t>Soft, cohesive materials (disintegrated rock with clay, chlorite, etc.)</t>
  </si>
  <si>
    <t>Hard, cohesive materials (disintegrated rock with clay, talc, chlorite, etc.)</t>
  </si>
  <si>
    <t>p // q</t>
  </si>
  <si>
    <r>
      <t xml:space="preserve">   (fill in for A </t>
    </r>
    <r>
      <rPr>
        <sz val="6"/>
        <color rgb="FF0000CC"/>
        <rFont val="Calibri"/>
        <family val="2"/>
        <scheme val="minor"/>
      </rPr>
      <t>or</t>
    </r>
    <r>
      <rPr>
        <sz val="8"/>
        <color rgb="FF0000CC"/>
        <rFont val="Calibri"/>
        <family val="2"/>
        <scheme val="minor"/>
      </rPr>
      <t xml:space="preserve"> for B)</t>
    </r>
  </si>
  <si>
    <t>You may better check the rock support estimated, by using relevant  RMi  or  Q  rock support</t>
  </si>
  <si>
    <t>valid for circular and horse-shoe shape tunnels</t>
  </si>
  <si>
    <t>Necessary roof support capacity  (Pi)</t>
  </si>
  <si>
    <r>
      <rPr>
        <vertAlign val="superscript"/>
        <sz val="7"/>
        <color rgb="FF000000"/>
        <rFont val="Calibri"/>
        <family val="2"/>
        <scheme val="minor"/>
      </rPr>
      <t xml:space="preserve">      *)</t>
    </r>
    <r>
      <rPr>
        <sz val="7"/>
        <color rgb="FF000000"/>
        <rFont val="Calibri"/>
        <family val="2"/>
        <scheme val="minor"/>
      </rPr>
      <t xml:space="preserve"> </t>
    </r>
    <r>
      <rPr>
        <sz val="7"/>
        <color rgb="FF000000"/>
        <rFont val="Symbol"/>
        <family val="1"/>
        <charset val="2"/>
      </rPr>
      <t>b</t>
    </r>
    <r>
      <rPr>
        <sz val="7"/>
        <color indexed="8"/>
        <rFont val="Calibri"/>
        <family val="2"/>
        <scheme val="minor"/>
      </rPr>
      <t xml:space="preserve"> </t>
    </r>
    <r>
      <rPr>
        <sz val="7"/>
        <color rgb="FF000000"/>
        <rFont val="Calibri"/>
        <family val="2"/>
        <scheme val="minor"/>
      </rPr>
      <t xml:space="preserve">is the shape factor for blocks </t>
    </r>
  </si>
  <si>
    <t>S1 =</t>
  </si>
  <si>
    <t>S3 =</t>
  </si>
  <si>
    <t xml:space="preserve">Estimated Rock support </t>
  </si>
  <si>
    <t>WALL support</t>
  </si>
  <si>
    <r>
      <rPr>
        <sz val="7"/>
        <rFont val="Arial"/>
        <family val="2"/>
      </rPr>
      <t>answer:</t>
    </r>
    <r>
      <rPr>
        <b/>
        <sz val="7"/>
        <color rgb="FF0000CC"/>
        <rFont val="Arial"/>
        <family val="2"/>
      </rPr>
      <t xml:space="preserve">  </t>
    </r>
    <r>
      <rPr>
        <b/>
        <sz val="7"/>
        <color rgb="FF0000CC"/>
        <rFont val="Symbol"/>
        <family val="1"/>
        <charset val="2"/>
      </rPr>
      <t>b</t>
    </r>
    <r>
      <rPr>
        <b/>
        <sz val="7"/>
        <color rgb="FF0000CC"/>
        <rFont val="Arial"/>
        <family val="2"/>
      </rPr>
      <t xml:space="preserve"> =</t>
    </r>
  </si>
  <si>
    <t>extremely long or flat</t>
  </si>
  <si>
    <r>
      <t>Tunnel orientation N(</t>
    </r>
    <r>
      <rPr>
        <vertAlign val="superscript"/>
        <sz val="8"/>
        <rFont val="Calibri"/>
        <family val="2"/>
        <scheme val="minor"/>
      </rPr>
      <t>o</t>
    </r>
    <r>
      <rPr>
        <sz val="8"/>
        <rFont val="Calibri"/>
        <family val="2"/>
        <scheme val="minor"/>
      </rPr>
      <t>) →</t>
    </r>
  </si>
  <si>
    <r>
      <t xml:space="preserve">Volumetric joint count (Jv)   </t>
    </r>
    <r>
      <rPr>
        <sz val="7"/>
        <color indexed="8"/>
        <rFont val="Arial"/>
        <family val="2"/>
      </rPr>
      <t xml:space="preserve">  Average value</t>
    </r>
  </si>
  <si>
    <r>
      <t>SRF</t>
    </r>
    <r>
      <rPr>
        <b/>
        <vertAlign val="subscript"/>
        <sz val="8"/>
        <color rgb="FF000000"/>
        <rFont val="Arial Black"/>
        <family val="2"/>
      </rPr>
      <t>z</t>
    </r>
    <r>
      <rPr>
        <b/>
        <sz val="8"/>
        <color indexed="8"/>
        <rFont val="Arial Black"/>
        <family val="2"/>
      </rPr>
      <t xml:space="preserve"> =              </t>
    </r>
  </si>
  <si>
    <t>Groundwater condition in zone</t>
  </si>
  <si>
    <t>3. RMi calculations of weakness zones</t>
  </si>
  <si>
    <r>
      <rPr>
        <sz val="7"/>
        <rFont val="Arial Narrow"/>
        <family val="2"/>
      </rPr>
      <t>Rock type</t>
    </r>
    <r>
      <rPr>
        <sz val="7"/>
        <rFont val="Calibri"/>
        <family val="2"/>
        <scheme val="minor"/>
      </rPr>
      <t xml:space="preserve"> →</t>
    </r>
  </si>
  <si>
    <t>and</t>
  </si>
  <si>
    <r>
      <t xml:space="preserve">  </t>
    </r>
    <r>
      <rPr>
        <i/>
        <sz val="7"/>
        <color rgb="FF000000"/>
        <rFont val="Calibri"/>
        <family val="2"/>
        <scheme val="minor"/>
      </rPr>
      <t>For more information on</t>
    </r>
    <r>
      <rPr>
        <i/>
        <sz val="7"/>
        <color indexed="8"/>
        <rFont val="Arial"/>
        <family val="1"/>
        <charset val="2"/>
      </rPr>
      <t xml:space="preserve"> </t>
    </r>
    <r>
      <rPr>
        <i/>
        <sz val="7"/>
        <color rgb="FF000000"/>
        <rFont val="Symbol"/>
        <family val="1"/>
        <charset val="2"/>
      </rPr>
      <t>b</t>
    </r>
  </si>
  <si>
    <r>
      <t xml:space="preserve">S1 and S3 = </t>
    </r>
    <r>
      <rPr>
        <u/>
        <sz val="7"/>
        <color rgb="FF000000"/>
        <rFont val="Calibri"/>
        <family val="2"/>
        <scheme val="minor"/>
      </rPr>
      <t>smallest</t>
    </r>
    <r>
      <rPr>
        <sz val="7"/>
        <color indexed="8"/>
        <rFont val="Calibri"/>
        <family val="2"/>
        <scheme val="minor"/>
      </rPr>
      <t xml:space="preserve"> and </t>
    </r>
    <r>
      <rPr>
        <u/>
        <sz val="7"/>
        <color rgb="FF000000"/>
        <rFont val="Calibri"/>
        <family val="2"/>
        <scheme val="minor"/>
      </rPr>
      <t>largest</t>
    </r>
    <r>
      <rPr>
        <sz val="7"/>
        <color indexed="8"/>
        <rFont val="Calibri"/>
        <family val="2"/>
        <scheme val="minor"/>
      </rPr>
      <t xml:space="preserve"> joint set spacing, or smallest and largest dimension or edge side of the block</t>
    </r>
  </si>
  <si>
    <r>
      <rPr>
        <sz val="7"/>
        <color rgb="FF0000CC"/>
        <rFont val="Arial"/>
        <family val="2"/>
      </rPr>
      <t>Vb</t>
    </r>
    <r>
      <rPr>
        <sz val="7"/>
        <color indexed="8"/>
        <rFont val="Arial"/>
        <family val="2"/>
      </rPr>
      <t xml:space="preserve"> (</t>
    </r>
    <r>
      <rPr>
        <sz val="5"/>
        <color rgb="FF000000"/>
        <rFont val="Arial"/>
        <family val="2"/>
      </rPr>
      <t>from</t>
    </r>
    <r>
      <rPr>
        <sz val="7"/>
        <color rgb="FFFF0000"/>
        <rFont val="Arial"/>
        <family val="2"/>
      </rPr>
      <t xml:space="preserve"> </t>
    </r>
    <r>
      <rPr>
        <sz val="6"/>
        <color rgb="FFFF0000"/>
        <rFont val="Arial"/>
        <family val="2"/>
      </rPr>
      <t>Jv</t>
    </r>
    <r>
      <rPr>
        <sz val="7"/>
        <color indexed="8"/>
        <rFont val="Arial"/>
        <family val="2"/>
      </rPr>
      <t>) =</t>
    </r>
  </si>
  <si>
    <r>
      <rPr>
        <sz val="7"/>
        <color rgb="FFFF0000"/>
        <rFont val="Arial"/>
        <family val="2"/>
      </rPr>
      <t>Jv</t>
    </r>
    <r>
      <rPr>
        <sz val="7"/>
        <color indexed="8"/>
        <rFont val="Arial"/>
        <family val="2"/>
      </rPr>
      <t xml:space="preserve"> (</t>
    </r>
    <r>
      <rPr>
        <sz val="5"/>
        <color rgb="FF000000"/>
        <rFont val="Arial"/>
        <family val="2"/>
      </rPr>
      <t>from</t>
    </r>
    <r>
      <rPr>
        <sz val="7"/>
        <color indexed="8"/>
        <rFont val="Arial"/>
        <family val="2"/>
      </rPr>
      <t xml:space="preserve"> </t>
    </r>
    <r>
      <rPr>
        <sz val="6"/>
        <color rgb="FF0000CC"/>
        <rFont val="Arial"/>
        <family val="2"/>
      </rPr>
      <t>Vb</t>
    </r>
    <r>
      <rPr>
        <sz val="7"/>
        <color indexed="8"/>
        <rFont val="Arial"/>
        <family val="2"/>
      </rPr>
      <t>) =</t>
    </r>
  </si>
  <si>
    <r>
      <t xml:space="preserve">Uniaxial compressive strength of rock </t>
    </r>
    <r>
      <rPr>
        <sz val="7"/>
        <rFont val="Arial"/>
        <family val="2"/>
      </rPr>
      <t>(MPa)</t>
    </r>
  </si>
  <si>
    <r>
      <t xml:space="preserve">Estimated Jn, based on Vb, when input for C2 </t>
    </r>
    <r>
      <rPr>
        <sz val="8"/>
        <rFont val="Arial"/>
        <family val="2"/>
      </rPr>
      <t>(joint sets)</t>
    </r>
    <r>
      <rPr>
        <b/>
        <sz val="8"/>
        <rFont val="Arial"/>
        <family val="2"/>
      </rPr>
      <t xml:space="preserve"> is not given</t>
    </r>
  </si>
  <si>
    <t>main joint set</t>
  </si>
  <si>
    <t>Orientation of</t>
  </si>
  <si>
    <t>TYPE</t>
  </si>
  <si>
    <r>
      <t xml:space="preserve">Block shape factor </t>
    </r>
    <r>
      <rPr>
        <sz val="8"/>
        <rFont val="Symbol"/>
        <family val="1"/>
        <charset val="2"/>
      </rPr>
      <t>(b)</t>
    </r>
  </si>
  <si>
    <t>Orientation of the zone</t>
  </si>
  <si>
    <r>
      <t xml:space="preserve">strike / dip ( </t>
    </r>
    <r>
      <rPr>
        <vertAlign val="superscript"/>
        <sz val="7"/>
        <rFont val="Arial"/>
        <family val="2"/>
      </rPr>
      <t>o</t>
    </r>
    <r>
      <rPr>
        <sz val="7"/>
        <rFont val="Arial"/>
        <family val="2"/>
      </rPr>
      <t xml:space="preserve"> ) =</t>
    </r>
  </si>
  <si>
    <t>version=3</t>
  </si>
  <si>
    <t xml:space="preserve">ROCKMASS OBSERVATIONS    TUNNEL SUPPORT ESTIMATE </t>
  </si>
  <si>
    <t>WEAKNESS/FAULT ZONE</t>
  </si>
  <si>
    <t>c/c = Spacing between ribs</t>
  </si>
  <si>
    <r>
      <t xml:space="preserve">Inflow of water to tunnel          </t>
    </r>
    <r>
      <rPr>
        <b/>
        <sz val="7"/>
        <rFont val="Arial"/>
        <family val="2"/>
      </rPr>
      <t xml:space="preserve"> </t>
    </r>
    <r>
      <rPr>
        <sz val="7"/>
        <rFont val="Arial"/>
        <family val="2"/>
      </rPr>
      <t xml:space="preserve"> and/</t>
    </r>
    <r>
      <rPr>
        <b/>
        <sz val="7"/>
        <rFont val="Arial"/>
        <family val="2"/>
      </rPr>
      <t xml:space="preserve">or </t>
    </r>
  </si>
  <si>
    <r>
      <t xml:space="preserve">Uniaxial compressive strength    </t>
    </r>
    <r>
      <rPr>
        <sz val="8"/>
        <rFont val="Arial"/>
        <family val="2"/>
      </rPr>
      <t xml:space="preserve">(UCS or </t>
    </r>
    <r>
      <rPr>
        <sz val="8"/>
        <color indexed="8"/>
        <rFont val="Symbol"/>
        <family val="1"/>
        <charset val="2"/>
      </rPr>
      <t>s</t>
    </r>
    <r>
      <rPr>
        <vertAlign val="subscript"/>
        <sz val="8"/>
        <color indexed="8"/>
        <rFont val="Arial"/>
        <family val="2"/>
      </rPr>
      <t>c</t>
    </r>
    <r>
      <rPr>
        <sz val="8"/>
        <color indexed="8"/>
        <rFont val="Arial"/>
        <family val="2"/>
      </rPr>
      <t>)</t>
    </r>
    <r>
      <rPr>
        <b/>
        <sz val="8"/>
        <color indexed="8"/>
        <rFont val="Arial"/>
        <family val="2"/>
      </rPr>
      <t xml:space="preserve"> </t>
    </r>
    <r>
      <rPr>
        <sz val="8"/>
        <color indexed="8"/>
        <rFont val="Arial"/>
        <family val="2"/>
      </rPr>
      <t>of intact rock</t>
    </r>
  </si>
  <si>
    <t xml:space="preserve">  A1</t>
  </si>
  <si>
    <t>Good</t>
  </si>
  <si>
    <t>Excellent</t>
  </si>
  <si>
    <r>
      <t>&lt; 0.3 dm</t>
    </r>
    <r>
      <rPr>
        <vertAlign val="superscript"/>
        <sz val="6"/>
        <rFont val="Calibri"/>
        <family val="2"/>
        <scheme val="minor"/>
      </rPr>
      <t>3</t>
    </r>
  </si>
  <si>
    <t>0 - 10</t>
  </si>
  <si>
    <r>
      <t>0.3 - 1 dm</t>
    </r>
    <r>
      <rPr>
        <vertAlign val="superscript"/>
        <sz val="6"/>
        <rFont val="Calibri"/>
        <family val="2"/>
        <scheme val="minor"/>
      </rPr>
      <t>3</t>
    </r>
  </si>
  <si>
    <r>
      <t>1 - 3 dm</t>
    </r>
    <r>
      <rPr>
        <vertAlign val="superscript"/>
        <sz val="6"/>
        <rFont val="Calibri"/>
        <family val="2"/>
        <scheme val="minor"/>
      </rPr>
      <t>3</t>
    </r>
  </si>
  <si>
    <r>
      <t>3 - 15 dm</t>
    </r>
    <r>
      <rPr>
        <vertAlign val="superscript"/>
        <sz val="6"/>
        <rFont val="Calibri"/>
        <family val="2"/>
        <scheme val="minor"/>
      </rPr>
      <t>3</t>
    </r>
  </si>
  <si>
    <r>
      <t>15 - 70 dm</t>
    </r>
    <r>
      <rPr>
        <vertAlign val="superscript"/>
        <sz val="6"/>
        <rFont val="Calibri"/>
        <family val="2"/>
        <scheme val="minor"/>
      </rPr>
      <t>3</t>
    </r>
  </si>
  <si>
    <r>
      <t>70 - 500 dm</t>
    </r>
    <r>
      <rPr>
        <vertAlign val="superscript"/>
        <sz val="6"/>
        <rFont val="Calibri"/>
        <family val="2"/>
        <scheme val="minor"/>
      </rPr>
      <t>3</t>
    </r>
  </si>
  <si>
    <t>&gt; 40</t>
  </si>
  <si>
    <t>40 - 34</t>
  </si>
  <si>
    <t>34 - 24</t>
  </si>
  <si>
    <t>24 - 14</t>
  </si>
  <si>
    <t>14 - 8</t>
  </si>
  <si>
    <t>8 - 4</t>
  </si>
  <si>
    <t>Interlocking of rockmass in zone</t>
  </si>
  <si>
    <t>INTERLOCKING OF ZONE STRUCTURE</t>
  </si>
  <si>
    <t>not included</t>
  </si>
  <si>
    <t>Description</t>
  </si>
  <si>
    <t>Interlocking in weakness zone</t>
  </si>
  <si>
    <t>NOTE: Interlocking has been introduced here, with rating values based on its effects presented in the GSI system.</t>
  </si>
  <si>
    <r>
      <t>Low stress level / poor interlocking</t>
    </r>
    <r>
      <rPr>
        <vertAlign val="superscript"/>
        <sz val="7"/>
        <rFont val="Arial"/>
        <family val="2"/>
      </rPr>
      <t xml:space="preserve"> 1) </t>
    </r>
  </si>
  <si>
    <t>Very low stress level (in portals / at surface)</t>
  </si>
  <si>
    <r>
      <t>IL</t>
    </r>
    <r>
      <rPr>
        <vertAlign val="subscript"/>
        <sz val="7"/>
        <rFont val="Arial"/>
        <family val="2"/>
      </rPr>
      <t>z</t>
    </r>
    <r>
      <rPr>
        <sz val="7"/>
        <rFont val="Arial"/>
        <family val="2"/>
      </rPr>
      <t xml:space="preserve"> =</t>
    </r>
  </si>
  <si>
    <r>
      <t>Jw</t>
    </r>
    <r>
      <rPr>
        <vertAlign val="subscript"/>
        <sz val="7"/>
        <rFont val="Arial"/>
        <family val="2"/>
      </rPr>
      <t>z</t>
    </r>
    <r>
      <rPr>
        <sz val="7"/>
        <rFont val="Arial"/>
        <family val="2"/>
      </rPr>
      <t xml:space="preserve"> </t>
    </r>
    <r>
      <rPr>
        <sz val="5"/>
        <rFont val="Arial"/>
        <family val="2"/>
      </rPr>
      <t>or</t>
    </r>
    <r>
      <rPr>
        <sz val="7"/>
        <rFont val="Arial"/>
        <family val="2"/>
      </rPr>
      <t xml:space="preserve"> GW</t>
    </r>
    <r>
      <rPr>
        <vertAlign val="subscript"/>
        <sz val="7"/>
        <rFont val="Arial"/>
        <family val="2"/>
      </rPr>
      <t>z</t>
    </r>
    <r>
      <rPr>
        <sz val="7"/>
        <rFont val="Arial"/>
        <family val="2"/>
      </rPr>
      <t xml:space="preserve"> =</t>
    </r>
  </si>
  <si>
    <r>
      <t>UCS</t>
    </r>
    <r>
      <rPr>
        <vertAlign val="subscript"/>
        <sz val="7"/>
        <color rgb="FF000000"/>
        <rFont val="Arial"/>
        <family val="2"/>
      </rPr>
      <t>z</t>
    </r>
    <r>
      <rPr>
        <sz val="5"/>
        <color rgb="FF000000"/>
        <rFont val="Arial"/>
        <family val="2"/>
      </rPr>
      <t xml:space="preserve"> (MPa) </t>
    </r>
    <r>
      <rPr>
        <sz val="7"/>
        <color rgb="FF000000"/>
        <rFont val="Arial"/>
        <family val="2"/>
      </rPr>
      <t>=</t>
    </r>
  </si>
  <si>
    <r>
      <t xml:space="preserve"> Table II: Excavation type. Input to RMi  </t>
    </r>
    <r>
      <rPr>
        <sz val="8"/>
        <rFont val="Arial"/>
        <family val="2"/>
      </rPr>
      <t xml:space="preserve"> </t>
    </r>
    <r>
      <rPr>
        <sz val="7"/>
        <rFont val="Arial"/>
        <family val="2"/>
      </rPr>
      <t>(in cell K46)</t>
    </r>
  </si>
  <si>
    <r>
      <t xml:space="preserve"> Table I:  ESR. Input to Q </t>
    </r>
    <r>
      <rPr>
        <sz val="7"/>
        <color rgb="FF000000"/>
        <rFont val="Arial"/>
        <family val="2"/>
      </rPr>
      <t xml:space="preserve"> (in cell H46)</t>
    </r>
  </si>
  <si>
    <r>
      <rPr>
        <b/>
        <sz val="8"/>
        <rFont val="Calibri"/>
        <family val="2"/>
        <scheme val="minor"/>
      </rPr>
      <t>Principle of construction of RRS</t>
    </r>
    <r>
      <rPr>
        <b/>
        <sz val="7"/>
        <rFont val="Calibri"/>
        <family val="2"/>
        <scheme val="minor"/>
      </rPr>
      <t xml:space="preserve"> </t>
    </r>
    <r>
      <rPr>
        <sz val="7"/>
        <rFont val="Calibri"/>
        <family val="2"/>
        <scheme val="minor"/>
      </rPr>
      <t>(From NGI: "Using the Q-system, 2013"  https://www.ngi.no/eng/Publications-and-library/Books/Q-system)</t>
    </r>
  </si>
  <si>
    <t>How to start using the 'INPUT and ESTIMATES' spreadsheet</t>
  </si>
  <si>
    <t xml:space="preserve"> Date:</t>
  </si>
  <si>
    <t>Rebar diameter (16 mm)</t>
  </si>
  <si>
    <r>
      <rPr>
        <sz val="7"/>
        <color rgb="FF000000"/>
        <rFont val="Arial"/>
        <family val="2"/>
      </rPr>
      <t>Block shape</t>
    </r>
    <r>
      <rPr>
        <sz val="7"/>
        <color rgb="FF000000"/>
        <rFont val="Symbol"/>
        <family val="1"/>
        <charset val="2"/>
      </rPr>
      <t xml:space="preserve"> (b)</t>
    </r>
    <r>
      <rPr>
        <sz val="7"/>
        <color rgb="FF000000"/>
        <rFont val="Arial"/>
        <family val="2"/>
      </rPr>
      <t xml:space="preserve"> can be estimated from input of: </t>
    </r>
  </si>
  <si>
    <r>
      <t xml:space="preserve">Note: Values in </t>
    </r>
    <r>
      <rPr>
        <b/>
        <sz val="7"/>
        <color rgb="FF3333FF"/>
        <rFont val="Arial"/>
        <family val="2"/>
      </rPr>
      <t>blue</t>
    </r>
    <r>
      <rPr>
        <sz val="7"/>
        <color rgb="FF3333FF"/>
        <rFont val="Arial"/>
        <family val="2"/>
      </rPr>
      <t xml:space="preserve"> cells can be adjusted</t>
    </r>
  </si>
  <si>
    <t>6 - 8</t>
  </si>
  <si>
    <t>Joint alteration</t>
  </si>
  <si>
    <r>
      <rPr>
        <vertAlign val="superscript"/>
        <sz val="6"/>
        <color rgb="FF000000"/>
        <rFont val="Arial"/>
        <family val="2"/>
      </rPr>
      <t xml:space="preserve"> *)</t>
    </r>
    <r>
      <rPr>
        <sz val="6"/>
        <color indexed="8"/>
        <rFont val="Arial"/>
        <family val="2"/>
      </rPr>
      <t xml:space="preserve">Classification: </t>
    </r>
    <r>
      <rPr>
        <sz val="6"/>
        <color rgb="FF000000"/>
        <rFont val="Symbol"/>
        <family val="1"/>
        <charset val="2"/>
      </rPr>
      <t>b</t>
    </r>
    <r>
      <rPr>
        <sz val="6"/>
        <color indexed="8"/>
        <rFont val="Arial"/>
        <family val="2"/>
      </rPr>
      <t xml:space="preserve"> = 27 - 30 for cubical blocks, </t>
    </r>
    <r>
      <rPr>
        <sz val="6"/>
        <color rgb="FF000000"/>
        <rFont val="Symbol"/>
        <family val="1"/>
        <charset val="2"/>
      </rPr>
      <t>b</t>
    </r>
    <r>
      <rPr>
        <sz val="6"/>
        <color indexed="8"/>
        <rFont val="Arial"/>
        <family val="2"/>
      </rPr>
      <t xml:space="preserve"> = 30 - 38 for slightly long or flat blocks, </t>
    </r>
    <r>
      <rPr>
        <sz val="6"/>
        <color rgb="FF000000"/>
        <rFont val="Symbol"/>
        <family val="1"/>
        <charset val="2"/>
      </rPr>
      <t>b</t>
    </r>
    <r>
      <rPr>
        <sz val="6"/>
        <color indexed="8"/>
        <rFont val="Arial"/>
        <family val="2"/>
      </rPr>
      <t xml:space="preserve"> = 38 - 60 for moderately long or flat blocks.</t>
    </r>
  </si>
  <si>
    <t>Assumptions used:</t>
  </si>
  <si>
    <t xml:space="preserve">Joint characteristics </t>
  </si>
  <si>
    <r>
      <t xml:space="preserve"> Observation</t>
    </r>
    <r>
      <rPr>
        <b/>
        <sz val="8"/>
        <color rgb="FF000000"/>
        <rFont val="Calibri"/>
        <family val="2"/>
        <scheme val="minor"/>
      </rPr>
      <t>→</t>
    </r>
  </si>
  <si>
    <t>Condition of joints</t>
  </si>
  <si>
    <t>Joint filling of weak materials</t>
  </si>
  <si>
    <t xml:space="preserve">Joint filling of swelling clay materials </t>
  </si>
  <si>
    <r>
      <rPr>
        <sz val="9"/>
        <color rgb="FF000000"/>
        <rFont val="Symbol"/>
        <family val="1"/>
        <charset val="2"/>
      </rPr>
      <t>s</t>
    </r>
    <r>
      <rPr>
        <vertAlign val="subscript"/>
        <sz val="9"/>
        <color rgb="FF000000"/>
        <rFont val="Arial"/>
        <family val="2"/>
      </rPr>
      <t>c</t>
    </r>
    <r>
      <rPr>
        <sz val="7"/>
        <color indexed="8"/>
        <rFont val="Arial"/>
        <family val="2"/>
      </rPr>
      <t xml:space="preserve"> =</t>
    </r>
  </si>
  <si>
    <t xml:space="preserve">Moderately/medium sized blocks   </t>
  </si>
  <si>
    <t>Length &lt; ~0.3 m</t>
  </si>
  <si>
    <t>&lt; 1 m</t>
  </si>
  <si>
    <t>0.3 – 1 m</t>
  </si>
  <si>
    <t>1 – 3 m</t>
  </si>
  <si>
    <t>3 – 10 m</t>
  </si>
  <si>
    <r>
      <t xml:space="preserve">10 – 30 m </t>
    </r>
    <r>
      <rPr>
        <vertAlign val="superscript"/>
        <sz val="7"/>
        <rFont val="Arial"/>
        <family val="2"/>
      </rPr>
      <t>1)</t>
    </r>
  </si>
  <si>
    <r>
      <t xml:space="preserve">&gt; 10 m </t>
    </r>
    <r>
      <rPr>
        <vertAlign val="superscript"/>
        <sz val="7"/>
        <rFont val="Arial"/>
        <family val="2"/>
      </rPr>
      <t>2)</t>
    </r>
  </si>
  <si>
    <r>
      <rPr>
        <sz val="8"/>
        <color rgb="FF000000"/>
        <rFont val="Symbol"/>
        <family val="1"/>
        <charset val="2"/>
      </rPr>
      <t>s</t>
    </r>
    <r>
      <rPr>
        <vertAlign val="subscript"/>
        <sz val="8"/>
        <color rgb="FF000000"/>
        <rFont val="Arial"/>
        <family val="2"/>
      </rPr>
      <t>c</t>
    </r>
  </si>
  <si>
    <t>Joint condition factor in zone</t>
  </si>
  <si>
    <r>
      <t>Q</t>
    </r>
    <r>
      <rPr>
        <vertAlign val="subscript"/>
        <sz val="8"/>
        <color theme="0" tint="-0.249977111117893"/>
        <rFont val="Arial"/>
        <family val="2"/>
      </rPr>
      <t>zone*</t>
    </r>
    <r>
      <rPr>
        <sz val="8"/>
        <color theme="0" tint="-0.249977111117893"/>
        <rFont val="Arial"/>
        <family val="2"/>
      </rPr>
      <t xml:space="preserve"> =</t>
    </r>
  </si>
  <si>
    <r>
      <t>assumed</t>
    </r>
    <r>
      <rPr>
        <vertAlign val="superscript"/>
        <sz val="7"/>
        <color theme="0" tint="-0.249977111117893"/>
        <rFont val="Arial Narrow"/>
        <family val="2"/>
      </rPr>
      <t>*)</t>
    </r>
  </si>
  <si>
    <t>special designed extra support  (not given here)</t>
  </si>
  <si>
    <r>
      <t>If no information on</t>
    </r>
    <r>
      <rPr>
        <i/>
        <sz val="8"/>
        <rFont val="Calibri"/>
        <family val="2"/>
        <scheme val="minor"/>
      </rPr>
      <t xml:space="preserve"> tunnel span</t>
    </r>
    <r>
      <rPr>
        <sz val="8"/>
        <rFont val="Calibri"/>
        <family val="2"/>
        <scheme val="minor"/>
      </rPr>
      <t xml:space="preserve"> is given,</t>
    </r>
  </si>
  <si>
    <r>
      <t xml:space="preserve">If no information on </t>
    </r>
    <r>
      <rPr>
        <i/>
        <sz val="8"/>
        <rFont val="Calibri"/>
        <family val="2"/>
        <scheme val="minor"/>
      </rPr>
      <t>wall height</t>
    </r>
    <r>
      <rPr>
        <sz val="8"/>
        <rFont val="Calibri"/>
        <family val="2"/>
        <scheme val="minor"/>
      </rPr>
      <t>,</t>
    </r>
  </si>
  <si>
    <r>
      <t xml:space="preserve">Assumed </t>
    </r>
    <r>
      <rPr>
        <i/>
        <sz val="8"/>
        <rFont val="Calibri"/>
        <family val="2"/>
        <scheme val="minor"/>
      </rPr>
      <t>no rock burst</t>
    </r>
    <r>
      <rPr>
        <sz val="8"/>
        <rFont val="Calibri"/>
        <family val="2"/>
        <scheme val="minor"/>
      </rPr>
      <t xml:space="preserve"> for UCS &lt;</t>
    </r>
  </si>
  <si>
    <t>weak joint filling</t>
  </si>
  <si>
    <t xml:space="preserve">  Note: Q and RMi apply a combination of joint weathering and infilling, while RMR has one input of both weathering and infilling</t>
  </si>
  <si>
    <t xml:space="preserve">Soft clay    </t>
  </si>
  <si>
    <t>Silty and/or sandy materials</t>
  </si>
  <si>
    <t>Firm clay to stiff clay</t>
  </si>
  <si>
    <t>Stiff clay to hard clay</t>
  </si>
  <si>
    <t>hard clay filling</t>
  </si>
  <si>
    <t>stiff clay filling</t>
  </si>
  <si>
    <t>soft clay filling</t>
  </si>
  <si>
    <t>Anhydrite</t>
  </si>
  <si>
    <t>Amphibolite</t>
  </si>
  <si>
    <t>Coal</t>
  </si>
  <si>
    <t>Amphibolitic gneiss</t>
  </si>
  <si>
    <t>Claystone</t>
  </si>
  <si>
    <t>Augen gneiss</t>
  </si>
  <si>
    <t>Conglomerate</t>
  </si>
  <si>
    <t>Black shale</t>
  </si>
  <si>
    <t>Chalk</t>
  </si>
  <si>
    <t>Garnet mica schist</t>
  </si>
  <si>
    <t>Dolomite</t>
  </si>
  <si>
    <t>Granite gneiss</t>
  </si>
  <si>
    <t>Greywacke</t>
  </si>
  <si>
    <t>Granulite</t>
  </si>
  <si>
    <t>Limestone</t>
  </si>
  <si>
    <t xml:space="preserve">Gneiss </t>
  </si>
  <si>
    <t xml:space="preserve">Mudstone   </t>
  </si>
  <si>
    <t>Gneiss granite</t>
  </si>
  <si>
    <t>Shale</t>
  </si>
  <si>
    <t>Greenschist</t>
  </si>
  <si>
    <t>Sandstone</t>
  </si>
  <si>
    <t>Greenstone</t>
  </si>
  <si>
    <t>Siltstone</t>
  </si>
  <si>
    <t>Marble</t>
  </si>
  <si>
    <t>Tuff</t>
  </si>
  <si>
    <t>Mica gneiss</t>
  </si>
  <si>
    <t xml:space="preserve">Mica quartzite </t>
  </si>
  <si>
    <t>Andesite</t>
  </si>
  <si>
    <t>Mica schist</t>
  </si>
  <si>
    <t>Anorthosite</t>
  </si>
  <si>
    <t>Mylonite</t>
  </si>
  <si>
    <t>Basalt</t>
  </si>
  <si>
    <t xml:space="preserve">Phyllite </t>
  </si>
  <si>
    <t>Diabase (dolerite)</t>
  </si>
  <si>
    <t xml:space="preserve">Quartz sandstone </t>
  </si>
  <si>
    <t>Diorite</t>
  </si>
  <si>
    <t>Quartzite</t>
  </si>
  <si>
    <t>Gabbro</t>
  </si>
  <si>
    <t xml:space="preserve">Quartzitic phyllite </t>
  </si>
  <si>
    <t>Granite</t>
  </si>
  <si>
    <t>Serpentinite</t>
  </si>
  <si>
    <t>Granodiorite</t>
  </si>
  <si>
    <t>Slate</t>
  </si>
  <si>
    <t>Monzonite</t>
  </si>
  <si>
    <t xml:space="preserve">Talc schist </t>
  </si>
  <si>
    <t>Nepheline syenite</t>
  </si>
  <si>
    <t>Norite</t>
  </si>
  <si>
    <t>Very soft clay</t>
  </si>
  <si>
    <t xml:space="preserve">Pegmatite   </t>
  </si>
  <si>
    <t>0.025 - 0.05</t>
  </si>
  <si>
    <t>Rhyolite</t>
  </si>
  <si>
    <t xml:space="preserve">Firm clay    </t>
  </si>
  <si>
    <t>0.05 - 0.1</t>
  </si>
  <si>
    <t>Syenite</t>
  </si>
  <si>
    <t>Stiff clay</t>
  </si>
  <si>
    <t>0.1 - 0.25</t>
  </si>
  <si>
    <t xml:space="preserve">Ultrabasic rock </t>
  </si>
  <si>
    <t xml:space="preserve">Very stiff clay </t>
  </si>
  <si>
    <t>0.25 - 0.5</t>
  </si>
  <si>
    <t>Hard clay</t>
  </si>
  <si>
    <t>&gt; 0.5</t>
  </si>
  <si>
    <t xml:space="preserve">Silt, sand </t>
  </si>
  <si>
    <t>0.0001 - 0.001</t>
  </si>
  <si>
    <t>UNIAXIAL COMPRESSIVE STRENGTH (MPa) OF SOME ROCKS AND SOILS</t>
  </si>
  <si>
    <r>
      <t>SRF</t>
    </r>
    <r>
      <rPr>
        <vertAlign val="subscript"/>
        <sz val="7"/>
        <rFont val="Arial"/>
        <family val="2"/>
      </rPr>
      <t>z</t>
    </r>
    <r>
      <rPr>
        <sz val="7"/>
        <rFont val="Arial"/>
        <family val="2"/>
      </rPr>
      <t xml:space="preserve"> =</t>
    </r>
  </si>
  <si>
    <t>fresh joint wall</t>
  </si>
  <si>
    <t>slightly altered joint</t>
  </si>
  <si>
    <t>altered joint</t>
  </si>
  <si>
    <t>silty joint coating</t>
  </si>
  <si>
    <t>clayey joint coating</t>
  </si>
  <si>
    <t>Help to calculate and compare values of RQD, Block size (Vb) and Volumetric joint count (Jv)</t>
  </si>
  <si>
    <t>Interlocking</t>
  </si>
  <si>
    <t>IL</t>
  </si>
  <si>
    <r>
      <t xml:space="preserve">Vb </t>
    </r>
    <r>
      <rPr>
        <sz val="8"/>
        <color theme="1"/>
        <rFont val="Arial"/>
        <family val="2"/>
      </rPr>
      <t xml:space="preserve"> ( m³ )</t>
    </r>
  </si>
  <si>
    <r>
      <t>Vb (dm</t>
    </r>
    <r>
      <rPr>
        <vertAlign val="superscript"/>
        <sz val="8"/>
        <color theme="0" tint="-0.34998626667073579"/>
        <rFont val="Arial"/>
        <family val="2"/>
      </rPr>
      <t>3</t>
    </r>
    <r>
      <rPr>
        <sz val="8"/>
        <color theme="0" tint="-0.34998626667073579"/>
        <rFont val="Arial"/>
        <family val="2"/>
      </rPr>
      <t>)</t>
    </r>
  </si>
  <si>
    <r>
      <t>Db</t>
    </r>
    <r>
      <rPr>
        <sz val="8"/>
        <color theme="0" tint="-0.34998626667073579"/>
        <rFont val="Arial"/>
        <family val="2"/>
      </rPr>
      <t xml:space="preserve">  (m)</t>
    </r>
  </si>
  <si>
    <t>Aver. joint cond. factor</t>
  </si>
  <si>
    <t>Joint conditions in zone</t>
  </si>
  <si>
    <r>
      <t xml:space="preserve"> TYPE of ROCK       SUPPORT            </t>
    </r>
    <r>
      <rPr>
        <b/>
        <sz val="8"/>
        <rFont val="Calibri"/>
        <family val="2"/>
      </rPr>
      <t>↓</t>
    </r>
  </si>
  <si>
    <r>
      <t xml:space="preserve">in </t>
    </r>
    <r>
      <rPr>
        <b/>
        <sz val="7"/>
        <color rgb="FF0000CC"/>
        <rFont val="Arial"/>
        <family val="2"/>
      </rPr>
      <t>10 m</t>
    </r>
    <r>
      <rPr>
        <sz val="7"/>
        <rFont val="Arial"/>
        <family val="2"/>
      </rPr>
      <t xml:space="preserve"> wide tunnels</t>
    </r>
  </si>
  <si>
    <r>
      <rPr>
        <vertAlign val="superscript"/>
        <sz val="7"/>
        <color theme="0" tint="-0.34998626667073579"/>
        <rFont val="Arial"/>
        <family val="2"/>
      </rPr>
      <t>*)</t>
    </r>
    <r>
      <rPr>
        <sz val="7"/>
        <color theme="0" tint="-0.34998626667073579"/>
        <rFont val="Arial"/>
        <family val="2"/>
      </rPr>
      <t xml:space="preserve">Adjustments can be made </t>
    </r>
  </si>
  <si>
    <t>H3</t>
  </si>
  <si>
    <r>
      <t xml:space="preserve">Orientation of weakness zone </t>
    </r>
    <r>
      <rPr>
        <sz val="8"/>
        <rFont val="Arial"/>
        <family val="2"/>
      </rPr>
      <t>(relative to tunnel)</t>
    </r>
  </si>
  <si>
    <r>
      <t>Co</t>
    </r>
    <r>
      <rPr>
        <vertAlign val="subscript"/>
        <sz val="7"/>
        <rFont val="Arial"/>
        <family val="2"/>
      </rPr>
      <t>z</t>
    </r>
    <r>
      <rPr>
        <sz val="7"/>
        <rFont val="Arial"/>
        <family val="2"/>
      </rPr>
      <t xml:space="preserve"> =</t>
    </r>
  </si>
  <si>
    <t>1,0</t>
  </si>
  <si>
    <r>
      <rPr>
        <sz val="9"/>
        <rFont val="Symbol"/>
        <family val="1"/>
        <charset val="2"/>
      </rPr>
      <t>s</t>
    </r>
    <r>
      <rPr>
        <vertAlign val="subscript"/>
        <sz val="9"/>
        <rFont val="Arial"/>
        <family val="2"/>
      </rPr>
      <t>c</t>
    </r>
    <r>
      <rPr>
        <sz val="9"/>
        <rFont val="Cambria"/>
        <family val="1"/>
      </rPr>
      <t xml:space="preserve"> =</t>
    </r>
  </si>
  <si>
    <r>
      <t>from Vb</t>
    </r>
    <r>
      <rPr>
        <vertAlign val="subscript"/>
        <sz val="6"/>
        <color theme="0" tint="-0.34998626667073579"/>
        <rFont val="Arial"/>
        <family val="2"/>
      </rPr>
      <t>zone</t>
    </r>
    <r>
      <rPr>
        <sz val="6"/>
        <color theme="0" tint="-0.34998626667073579"/>
        <rFont val="Arial"/>
        <family val="2"/>
      </rPr>
      <t>:</t>
    </r>
  </si>
  <si>
    <t xml:space="preserve">&lt; 0. 1 mm </t>
  </si>
  <si>
    <t>H5</t>
  </si>
  <si>
    <t>Jr</t>
  </si>
  <si>
    <t>jL</t>
  </si>
  <si>
    <t>Ja</t>
  </si>
  <si>
    <t>Mainly fresh joints</t>
  </si>
  <si>
    <t>Slightly altered joint walls</t>
  </si>
  <si>
    <t>Altered joint walls</t>
  </si>
  <si>
    <t>Clay coated joint walls</t>
  </si>
  <si>
    <t>Sandy joint filling</t>
  </si>
  <si>
    <t>Swelling clay</t>
  </si>
  <si>
    <r>
      <t>jC</t>
    </r>
    <r>
      <rPr>
        <vertAlign val="subscript"/>
        <sz val="8"/>
        <rFont val="Arial"/>
        <family val="2"/>
      </rPr>
      <t>z</t>
    </r>
    <r>
      <rPr>
        <sz val="8"/>
        <rFont val="Arial"/>
        <family val="2"/>
      </rPr>
      <t xml:space="preserve"> =</t>
    </r>
  </si>
  <si>
    <t>slightly altered</t>
  </si>
  <si>
    <t>altered joints</t>
  </si>
  <si>
    <t>clay coated joints</t>
  </si>
  <si>
    <t>sandy joint fillings</t>
  </si>
  <si>
    <t>Estimated Rock support</t>
  </si>
  <si>
    <r>
      <t xml:space="preserve">  Measurements </t>
    </r>
    <r>
      <rPr>
        <b/>
        <sz val="8"/>
        <color rgb="FF000000"/>
        <rFont val="Arial Narrow"/>
        <family val="2"/>
      </rPr>
      <t>of main joint sets</t>
    </r>
  </si>
  <si>
    <r>
      <t>Joint roughness</t>
    </r>
    <r>
      <rPr>
        <sz val="7"/>
        <rFont val="Arial"/>
        <family val="2"/>
      </rPr>
      <t xml:space="preserve"> </t>
    </r>
    <r>
      <rPr>
        <sz val="6"/>
        <color rgb="FF0000CC"/>
        <rFont val="Arial"/>
        <family val="2"/>
      </rPr>
      <t>(Jr or jR = js×jw)</t>
    </r>
  </si>
  <si>
    <r>
      <t>Jr</t>
    </r>
    <r>
      <rPr>
        <vertAlign val="subscript"/>
        <sz val="8"/>
        <rFont val="Arial"/>
        <family val="2"/>
      </rPr>
      <t>z</t>
    </r>
  </si>
  <si>
    <r>
      <t>Ja</t>
    </r>
    <r>
      <rPr>
        <vertAlign val="subscript"/>
        <sz val="8"/>
        <rFont val="Arial"/>
        <family val="2"/>
      </rPr>
      <t>z</t>
    </r>
  </si>
  <si>
    <t xml:space="preserve">Joint conditions in the zone  </t>
  </si>
  <si>
    <r>
      <t xml:space="preserve"> (jC</t>
    </r>
    <r>
      <rPr>
        <vertAlign val="subscript"/>
        <sz val="7"/>
        <rFont val="Arial"/>
        <family val="2"/>
      </rPr>
      <t>z</t>
    </r>
    <r>
      <rPr>
        <sz val="7"/>
        <rFont val="Arial"/>
        <family val="2"/>
      </rPr>
      <t xml:space="preserve"> = jL</t>
    </r>
    <r>
      <rPr>
        <vertAlign val="subscript"/>
        <sz val="7"/>
        <rFont val="Arial"/>
        <family val="2"/>
      </rPr>
      <t>z</t>
    </r>
    <r>
      <rPr>
        <sz val="7"/>
        <rFont val="Arial"/>
        <family val="2"/>
      </rPr>
      <t xml:space="preserve"> x jR</t>
    </r>
    <r>
      <rPr>
        <vertAlign val="subscript"/>
        <sz val="7"/>
        <rFont val="Arial"/>
        <family val="2"/>
      </rPr>
      <t>z</t>
    </r>
    <r>
      <rPr>
        <sz val="7"/>
        <rFont val="Arial"/>
        <family val="2"/>
      </rPr>
      <t xml:space="preserve"> / jA</t>
    </r>
    <r>
      <rPr>
        <vertAlign val="subscript"/>
        <sz val="7"/>
        <rFont val="Arial"/>
        <family val="2"/>
      </rPr>
      <t>z</t>
    </r>
    <r>
      <rPr>
        <sz val="7"/>
        <rFont val="Arial"/>
        <family val="2"/>
      </rPr>
      <t>)</t>
    </r>
  </si>
  <si>
    <r>
      <t xml:space="preserve">Strength of </t>
    </r>
    <r>
      <rPr>
        <b/>
        <i/>
        <sz val="8"/>
        <rFont val="Arial"/>
        <family val="2"/>
      </rPr>
      <t>Filling</t>
    </r>
    <r>
      <rPr>
        <b/>
        <sz val="8"/>
        <rFont val="Arial"/>
        <family val="2"/>
      </rPr>
      <t xml:space="preserve"> of weak or soft material </t>
    </r>
    <r>
      <rPr>
        <sz val="8"/>
        <rFont val="Arial"/>
        <family val="2"/>
      </rPr>
      <t>(with or without rock fragments)</t>
    </r>
  </si>
  <si>
    <r>
      <rPr>
        <vertAlign val="superscript"/>
        <sz val="7"/>
        <color rgb="FF0000CC"/>
        <rFont val="Arial"/>
        <family val="2"/>
      </rPr>
      <t xml:space="preserve">*) </t>
    </r>
    <r>
      <rPr>
        <sz val="7"/>
        <color rgb="FF0000CC"/>
        <rFont val="Arial"/>
        <family val="2"/>
      </rPr>
      <t>For filled zone, RMi</t>
    </r>
    <r>
      <rPr>
        <vertAlign val="subscript"/>
        <sz val="7"/>
        <color rgb="FF0000CC"/>
        <rFont val="Arial"/>
        <family val="2"/>
      </rPr>
      <t>z</t>
    </r>
    <r>
      <rPr>
        <sz val="7"/>
        <color rgb="FF0000CC"/>
        <rFont val="Arial"/>
        <family val="2"/>
      </rPr>
      <t xml:space="preserve"> ≈ </t>
    </r>
    <r>
      <rPr>
        <sz val="7"/>
        <color rgb="FF0000CC"/>
        <rFont val="Symbol"/>
        <family val="1"/>
        <charset val="2"/>
      </rPr>
      <t>s</t>
    </r>
    <r>
      <rPr>
        <vertAlign val="subscript"/>
        <sz val="7"/>
        <color rgb="FF0000CC"/>
        <rFont val="Arial"/>
        <family val="2"/>
      </rPr>
      <t xml:space="preserve">c </t>
    </r>
    <r>
      <rPr>
        <sz val="7"/>
        <color rgb="FF0000CC"/>
        <rFont val="Cambria"/>
        <family val="1"/>
      </rPr>
      <t>×</t>
    </r>
    <r>
      <rPr>
        <sz val="7"/>
        <color rgb="FF0000CC"/>
        <rFont val="Arial"/>
        <family val="2"/>
      </rPr>
      <t xml:space="preserve"> f</t>
    </r>
    <r>
      <rPr>
        <vertAlign val="subscript"/>
        <sz val="7"/>
        <color rgb="FF0000CC"/>
        <rFont val="Symbol"/>
        <family val="1"/>
        <charset val="2"/>
      </rPr>
      <t xml:space="preserve">s </t>
    </r>
    <r>
      <rPr>
        <sz val="7"/>
        <color rgb="FF0000CC"/>
        <rFont val="Cambria"/>
        <family val="1"/>
      </rPr>
      <t xml:space="preserve">× </t>
    </r>
    <r>
      <rPr>
        <sz val="7"/>
        <color rgb="FF0000CC"/>
        <rFont val="Arial"/>
        <family val="2"/>
      </rPr>
      <t>IL</t>
    </r>
    <r>
      <rPr>
        <sz val="7"/>
        <color rgb="FF0000CC"/>
        <rFont val="Symbol"/>
        <family val="1"/>
        <charset val="2"/>
      </rPr>
      <t>)</t>
    </r>
  </si>
  <si>
    <r>
      <rPr>
        <i/>
        <vertAlign val="superscript"/>
        <sz val="7"/>
        <color rgb="FF0000FF"/>
        <rFont val="Calibri"/>
        <family val="2"/>
        <scheme val="minor"/>
      </rPr>
      <t>*)</t>
    </r>
    <r>
      <rPr>
        <i/>
        <sz val="7"/>
        <color rgb="FF0000FF"/>
        <rFont val="Calibri"/>
        <family val="2"/>
        <scheme val="minor"/>
      </rPr>
      <t>Silty and/or sandy filling materials are not included in the RMi system</t>
    </r>
  </si>
  <si>
    <r>
      <t>jointed rock, Pi</t>
    </r>
    <r>
      <rPr>
        <vertAlign val="subscript"/>
        <sz val="8"/>
        <color theme="0" tint="-0.249977111117893"/>
        <rFont val="Calibri"/>
        <family val="2"/>
        <scheme val="minor"/>
      </rPr>
      <t>a</t>
    </r>
    <r>
      <rPr>
        <sz val="8"/>
        <color theme="0" tint="-0.249977111117893"/>
        <rFont val="Calibri"/>
        <family val="2"/>
        <scheme val="minor"/>
      </rPr>
      <t xml:space="preserve"> </t>
    </r>
  </si>
  <si>
    <r>
      <t>weak zone, Pi</t>
    </r>
    <r>
      <rPr>
        <vertAlign val="subscript"/>
        <sz val="8"/>
        <color theme="0" tint="-0.249977111117893"/>
        <rFont val="Calibri"/>
        <family val="2"/>
        <scheme val="minor"/>
      </rPr>
      <t>z</t>
    </r>
    <r>
      <rPr>
        <sz val="8"/>
        <color theme="0" tint="-0.249977111117893"/>
        <rFont val="Calibri"/>
        <family val="2"/>
        <scheme val="minor"/>
      </rPr>
      <t xml:space="preserve"> </t>
    </r>
  </si>
  <si>
    <t>tight structure</t>
  </si>
  <si>
    <t>disturbed</t>
  </si>
  <si>
    <t>poorly interlocked</t>
  </si>
  <si>
    <t>Interlocking of weak zone</t>
  </si>
  <si>
    <t>Soil</t>
  </si>
  <si>
    <r>
      <rPr>
        <sz val="7"/>
        <rFont val="Symbol"/>
        <family val="1"/>
        <charset val="2"/>
      </rPr>
      <t>s</t>
    </r>
    <r>
      <rPr>
        <vertAlign val="subscript"/>
        <sz val="8"/>
        <rFont val="Arial"/>
        <family val="2"/>
      </rPr>
      <t>c</t>
    </r>
  </si>
  <si>
    <t xml:space="preserve">for all types of rock masses and ground conditions. Try to understand the geological setting and the actual site </t>
  </si>
  <si>
    <t>conditions when selecting the input parameter ratings.</t>
  </si>
  <si>
    <t>charts and the values for the Ground quality vs. the Size of the tunnel (span or wall height).</t>
  </si>
  <si>
    <r>
      <t>NOTE: The strike (0 - 90</t>
    </r>
    <r>
      <rPr>
        <vertAlign val="superscript"/>
        <sz val="7"/>
        <color rgb="FF0000FF"/>
        <rFont val="Calibri"/>
        <family val="2"/>
        <scheme val="minor"/>
      </rPr>
      <t>o</t>
    </r>
    <r>
      <rPr>
        <sz val="7"/>
        <color rgb="FF0000FF"/>
        <rFont val="Calibri"/>
        <family val="2"/>
        <scheme val="minor"/>
      </rPr>
      <t>) is related to the orientation of the tunnel</t>
    </r>
  </si>
  <si>
    <r>
      <rPr>
        <sz val="6"/>
        <color rgb="FF000000"/>
        <rFont val="Symbol"/>
        <family val="1"/>
        <charset val="2"/>
      </rPr>
      <t xml:space="preserve"> b</t>
    </r>
    <r>
      <rPr>
        <sz val="6"/>
        <color indexed="8"/>
        <rFont val="Arial"/>
        <family val="1"/>
        <charset val="2"/>
      </rPr>
      <t xml:space="preserve"> = 20+7(S1/S3)</t>
    </r>
  </si>
  <si>
    <t>Size (thickness) of the weakness zone</t>
  </si>
  <si>
    <r>
      <t>NOTE: For zone type (i): 'Zone filled with soft material',  RMi</t>
    </r>
    <r>
      <rPr>
        <vertAlign val="subscript"/>
        <sz val="8"/>
        <color theme="0" tint="-0.249977111117893"/>
        <rFont val="Calibri"/>
        <family val="2"/>
        <scheme val="minor"/>
      </rPr>
      <t>z</t>
    </r>
    <r>
      <rPr>
        <sz val="8"/>
        <color theme="0" tint="-0.249977111117893"/>
        <rFont val="Calibri"/>
        <family val="2"/>
        <scheme val="minor"/>
      </rPr>
      <t xml:space="preserve"> ≈  UCS</t>
    </r>
    <r>
      <rPr>
        <vertAlign val="subscript"/>
        <sz val="8"/>
        <color theme="0" tint="-0.249977111117893"/>
        <rFont val="Calibri"/>
        <family val="2"/>
        <scheme val="minor"/>
      </rPr>
      <t xml:space="preserve">z </t>
    </r>
    <r>
      <rPr>
        <sz val="8"/>
        <color theme="0" tint="-0.249977111117893"/>
        <rFont val="Calibri"/>
        <family val="2"/>
      </rPr>
      <t>×</t>
    </r>
    <r>
      <rPr>
        <sz val="8"/>
        <color theme="0" tint="-0.249977111117893"/>
        <rFont val="Calibri"/>
        <family val="2"/>
        <scheme val="minor"/>
      </rPr>
      <t xml:space="preserve"> f</t>
    </r>
    <r>
      <rPr>
        <vertAlign val="subscript"/>
        <sz val="8"/>
        <color theme="0" tint="-0.249977111117893"/>
        <rFont val="Symbol"/>
        <family val="1"/>
        <charset val="2"/>
      </rPr>
      <t>s</t>
    </r>
  </si>
  <si>
    <t>NOTE: For zone type (i): 'Zone filled with soft material', a "fictive" value of Vbz = 0.001 is used</t>
  </si>
  <si>
    <r>
      <rPr>
        <sz val="7"/>
        <color rgb="FF000000"/>
        <rFont val="Arial"/>
        <family val="2"/>
      </rPr>
      <t>jC</t>
    </r>
    <r>
      <rPr>
        <vertAlign val="subscript"/>
        <sz val="7"/>
        <color rgb="FF000000"/>
        <rFont val="Arial"/>
        <family val="2"/>
      </rPr>
      <t>z</t>
    </r>
    <r>
      <rPr>
        <sz val="7"/>
        <color indexed="8"/>
        <rFont val="Arial"/>
        <family val="2"/>
      </rPr>
      <t xml:space="preserve"> </t>
    </r>
    <r>
      <rPr>
        <sz val="5"/>
        <color rgb="FF000000"/>
        <rFont val="Arial"/>
        <family val="2"/>
      </rPr>
      <t>or</t>
    </r>
    <r>
      <rPr>
        <sz val="7"/>
        <color indexed="8"/>
        <rFont val="Arial"/>
        <family val="2"/>
      </rPr>
      <t xml:space="preserve"> Jr/Ja=</t>
    </r>
  </si>
  <si>
    <t>ROCK and SOIL materials</t>
  </si>
  <si>
    <r>
      <t>Weathering</t>
    </r>
    <r>
      <rPr>
        <sz val="6.5"/>
        <color rgb="FF000000"/>
        <rFont val="Calibri"/>
        <family val="2"/>
        <scheme val="minor"/>
      </rPr>
      <t>→</t>
    </r>
  </si>
  <si>
    <t>Do not forget to apply engineering and geological judgement to evaluate the site conditions to find representative values of the input parameters, as well as the behaviour of the ground in the underground opening.</t>
  </si>
  <si>
    <t>Table A</t>
  </si>
  <si>
    <t>Table B</t>
  </si>
  <si>
    <t>Table C</t>
  </si>
  <si>
    <t>Table D</t>
  </si>
  <si>
    <t>Table E</t>
  </si>
  <si>
    <t>Table G</t>
  </si>
  <si>
    <t>Table H</t>
  </si>
  <si>
    <t>Table I</t>
  </si>
  <si>
    <t xml:space="preserve">JOINTED ROCK MASSES </t>
  </si>
  <si>
    <t>HELP, INFORMATION  and  COMMENTS</t>
  </si>
  <si>
    <r>
      <rPr>
        <vertAlign val="superscript"/>
        <sz val="7"/>
        <rFont val="Arial"/>
        <family val="2"/>
      </rPr>
      <t xml:space="preserve">1) </t>
    </r>
    <r>
      <rPr>
        <sz val="7"/>
        <rFont val="Arial"/>
        <family val="2"/>
      </rPr>
      <t>See Table I</t>
    </r>
  </si>
  <si>
    <t>or   here</t>
  </si>
  <si>
    <r>
      <t xml:space="preserve">Input </t>
    </r>
    <r>
      <rPr>
        <b/>
        <sz val="8"/>
        <color indexed="8"/>
        <rFont val="Calibri"/>
        <family val="2"/>
      </rPr>
      <t>↓</t>
    </r>
    <r>
      <rPr>
        <b/>
        <sz val="11.35"/>
        <color indexed="8"/>
        <rFont val="Calibri"/>
        <family val="2"/>
      </rPr>
      <t xml:space="preserve"> </t>
    </r>
    <r>
      <rPr>
        <b/>
        <sz val="8"/>
        <color indexed="8"/>
        <rFont val="Calibri"/>
        <family val="2"/>
        <scheme val="minor"/>
      </rPr>
      <t>data</t>
    </r>
  </si>
  <si>
    <t>Check of</t>
  </si>
  <si>
    <t xml:space="preserve">Please, read </t>
  </si>
  <si>
    <r>
      <t xml:space="preserve">See Table </t>
    </r>
    <r>
      <rPr>
        <b/>
        <sz val="6"/>
        <rFont val="Arial Narrow"/>
        <family val="2"/>
      </rPr>
      <t>I</t>
    </r>
    <r>
      <rPr>
        <sz val="6"/>
        <rFont val="Arial Narrow"/>
        <family val="2"/>
      </rPr>
      <t xml:space="preserve"> </t>
    </r>
    <r>
      <rPr>
        <sz val="7"/>
        <rFont val="Calibri"/>
        <family val="2"/>
        <scheme val="minor"/>
      </rPr>
      <t xml:space="preserve">→ </t>
    </r>
    <r>
      <rPr>
        <sz val="6"/>
        <rFont val="Calibri"/>
        <family val="2"/>
        <scheme val="minor"/>
      </rPr>
      <t xml:space="preserve"> </t>
    </r>
  </si>
  <si>
    <r>
      <t>See Table</t>
    </r>
    <r>
      <rPr>
        <b/>
        <sz val="6"/>
        <color rgb="FF000000"/>
        <rFont val="Arial Narrow"/>
        <family val="2"/>
      </rPr>
      <t xml:space="preserve"> II </t>
    </r>
    <r>
      <rPr>
        <sz val="7"/>
        <color rgb="FF000000"/>
        <rFont val="Calibri"/>
        <family val="2"/>
        <scheme val="minor"/>
      </rPr>
      <t>→</t>
    </r>
    <r>
      <rPr>
        <sz val="6"/>
        <color indexed="8"/>
        <rFont val="Arial Narrow"/>
        <family val="2"/>
      </rPr>
      <t xml:space="preserve"> </t>
    </r>
  </si>
  <si>
    <t>=</t>
  </si>
  <si>
    <t>Weak zone:</t>
  </si>
  <si>
    <r>
      <t>CF</t>
    </r>
    <r>
      <rPr>
        <vertAlign val="subscript"/>
        <sz val="8"/>
        <color theme="0" tint="-0.249977111117893"/>
        <rFont val="Calibri"/>
        <family val="2"/>
        <scheme val="minor"/>
      </rPr>
      <t>roof</t>
    </r>
    <r>
      <rPr>
        <sz val="8"/>
        <color theme="0" tint="-0.249977111117893"/>
        <rFont val="Calibri"/>
        <family val="2"/>
        <scheme val="minor"/>
      </rPr>
      <t xml:space="preserve"> =</t>
    </r>
  </si>
  <si>
    <r>
      <t>CF</t>
    </r>
    <r>
      <rPr>
        <vertAlign val="subscript"/>
        <sz val="8"/>
        <color theme="0" tint="-0.249977111117893"/>
        <rFont val="Calibri"/>
        <family val="2"/>
        <scheme val="minor"/>
      </rPr>
      <t>wall</t>
    </r>
    <r>
      <rPr>
        <sz val="8"/>
        <color theme="0" tint="-0.249977111117893"/>
        <rFont val="Calibri"/>
        <family val="2"/>
        <scheme val="minor"/>
      </rPr>
      <t xml:space="preserve"> =</t>
    </r>
  </si>
  <si>
    <r>
      <t xml:space="preserve">Type of structure       </t>
    </r>
    <r>
      <rPr>
        <b/>
        <sz val="7"/>
        <color rgb="FF000000"/>
        <rFont val="Arial"/>
        <family val="2"/>
      </rPr>
      <t xml:space="preserve"> </t>
    </r>
    <r>
      <rPr>
        <sz val="7"/>
        <color rgb="FF000000"/>
        <rFont val="Arial"/>
        <family val="2"/>
      </rPr>
      <t>(see figure)   =</t>
    </r>
  </si>
  <si>
    <t>The input values used  [assumed (common) or given values] are shown in the INFORMATION column.</t>
  </si>
  <si>
    <t>The more inputs given, the better the calculated result will be.</t>
  </si>
  <si>
    <t>Inputs ↓ used</t>
  </si>
  <si>
    <t>NOTE 3:</t>
  </si>
  <si>
    <t xml:space="preserve">The rock support spreadsheet is only a help in the rock design process. It will not give the right answer </t>
  </si>
  <si>
    <t xml:space="preserve">       NOTE 1:</t>
  </si>
  <si>
    <t xml:space="preserve">This spreadsheet applies common values for parameters where no input is given. </t>
  </si>
  <si>
    <t>NOTE 2:</t>
  </si>
  <si>
    <t xml:space="preserve"> included in the ground quality estimates and in the estimated support. This is marked as weakness zone*) in the</t>
  </si>
  <si>
    <t>in the roof</t>
  </si>
  <si>
    <t>in the wall</t>
  </si>
  <si>
    <t>Blue cells with blue text</t>
  </si>
  <si>
    <r>
      <t xml:space="preserve">Type of weakness zone </t>
    </r>
    <r>
      <rPr>
        <sz val="7"/>
        <rFont val="Calibri"/>
        <family val="2"/>
        <scheme val="minor"/>
      </rPr>
      <t>(see figure)</t>
    </r>
  </si>
  <si>
    <t xml:space="preserve"> Si 30/6 = Single layer of 6 rebars, 30 cm thick shotcrete</t>
  </si>
  <si>
    <t>If no zone thickness  thickness is given,</t>
  </si>
  <si>
    <r>
      <t>Better use info in</t>
    </r>
    <r>
      <rPr>
        <i/>
        <sz val="8"/>
        <rFont val="Calibri"/>
        <family val="2"/>
        <scheme val="minor"/>
      </rPr>
      <t xml:space="preserve"> 'Support capacity'</t>
    </r>
    <r>
      <rPr>
        <sz val="8"/>
        <rFont val="Calibri"/>
        <family val="2"/>
        <scheme val="minor"/>
      </rPr>
      <t>, when support capacity, P</t>
    </r>
    <r>
      <rPr>
        <vertAlign val="subscript"/>
        <sz val="8"/>
        <rFont val="Calibri"/>
        <family val="2"/>
        <scheme val="minor"/>
      </rPr>
      <t>i</t>
    </r>
    <r>
      <rPr>
        <sz val="8"/>
        <rFont val="Calibri"/>
        <family val="2"/>
        <scheme val="minor"/>
      </rPr>
      <t xml:space="preserve"> &gt;</t>
    </r>
  </si>
  <si>
    <t>Mean size of crushed blocks in the zone</t>
  </si>
  <si>
    <t>Calculated results.</t>
  </si>
  <si>
    <t>Strength of rock or zone filling material</t>
  </si>
  <si>
    <t>click here )</t>
  </si>
  <si>
    <t>( for info on rock strength:</t>
  </si>
  <si>
    <t>For zones with weak filling,</t>
  </si>
  <si>
    <t xml:space="preserve">is assumed max.limit in the RMi system </t>
  </si>
  <si>
    <t>For crushed weakness zones,</t>
  </si>
  <si>
    <t>is maximum thickness.</t>
  </si>
  <si>
    <r>
      <t>Pi</t>
    </r>
    <r>
      <rPr>
        <vertAlign val="subscript"/>
        <sz val="8"/>
        <color theme="0" tint="-0.34998626667073579"/>
        <rFont val="Arial"/>
        <family val="2"/>
      </rPr>
      <t>z</t>
    </r>
    <r>
      <rPr>
        <sz val="8"/>
        <color theme="0" tint="-0.34998626667073579"/>
        <rFont val="Arial"/>
        <family val="2"/>
      </rPr>
      <t xml:space="preserve"> = (10/Dt)^0.5)*(jC</t>
    </r>
    <r>
      <rPr>
        <vertAlign val="subscript"/>
        <sz val="8"/>
        <color theme="0" tint="-0.34998626667073579"/>
        <rFont val="Arial"/>
        <family val="2"/>
      </rPr>
      <t>z</t>
    </r>
    <r>
      <rPr>
        <sz val="8"/>
        <color theme="0" tint="-0.34998626667073579"/>
        <rFont val="Arial"/>
        <family val="2"/>
      </rPr>
      <t>+1)*((UCS</t>
    </r>
    <r>
      <rPr>
        <vertAlign val="subscript"/>
        <sz val="8"/>
        <color theme="0" tint="-0.34998626667073579"/>
        <rFont val="Arial"/>
        <family val="2"/>
      </rPr>
      <t>z</t>
    </r>
    <r>
      <rPr>
        <sz val="8"/>
        <color theme="0" tint="-0.34998626667073579"/>
        <rFont val="Arial"/>
        <family val="2"/>
      </rPr>
      <t>/100)^0.4)*Gc</t>
    </r>
    <r>
      <rPr>
        <vertAlign val="subscript"/>
        <sz val="8"/>
        <color theme="0" tint="-0.34998626667073579"/>
        <rFont val="Arial"/>
        <family val="2"/>
      </rPr>
      <t>z</t>
    </r>
    <r>
      <rPr>
        <sz val="8"/>
        <color theme="0" tint="-0.34998626667073579"/>
        <rFont val="Arial"/>
        <family val="2"/>
      </rPr>
      <t>^(-0.65*jC</t>
    </r>
    <r>
      <rPr>
        <vertAlign val="subscript"/>
        <sz val="8"/>
        <color theme="0" tint="-0.34998626667073579"/>
        <rFont val="Arial"/>
        <family val="2"/>
      </rPr>
      <t>z</t>
    </r>
    <r>
      <rPr>
        <sz val="8"/>
        <color theme="0" tint="-0.34998626667073579"/>
        <rFont val="Arial"/>
        <family val="2"/>
      </rPr>
      <t>^0.25)  =</t>
    </r>
  </si>
  <si>
    <t>Classification of continuity  (CF)</t>
  </si>
  <si>
    <t>CF =</t>
  </si>
  <si>
    <t>continuous / massive</t>
  </si>
  <si>
    <t>continuous // discontin.</t>
  </si>
  <si>
    <t>discontinuous // contin.</t>
  </si>
  <si>
    <t>continuous / particulate</t>
  </si>
  <si>
    <r>
      <t>s</t>
    </r>
    <r>
      <rPr>
        <b/>
        <vertAlign val="subscript"/>
        <sz val="8"/>
        <color theme="1"/>
        <rFont val="Times New Roman"/>
        <family val="1"/>
      </rPr>
      <t>c</t>
    </r>
  </si>
  <si>
    <t>Weakness zones</t>
  </si>
  <si>
    <r>
      <t xml:space="preserve">UCS rock </t>
    </r>
    <r>
      <rPr>
        <sz val="6"/>
        <color theme="1"/>
        <rFont val="Calibri"/>
        <family val="2"/>
        <scheme val="minor"/>
      </rPr>
      <t>or</t>
    </r>
    <r>
      <rPr>
        <sz val="8"/>
        <color theme="1"/>
        <rFont val="Calibri"/>
        <family val="2"/>
        <scheme val="minor"/>
      </rPr>
      <t xml:space="preserve"> filling</t>
    </r>
  </si>
  <si>
    <t>here</t>
  </si>
  <si>
    <t>(in the 'Parameter tables' sheet)</t>
  </si>
  <si>
    <t>Clayish joint fillings</t>
  </si>
  <si>
    <t xml:space="preserve"> clayish joint fillings</t>
  </si>
  <si>
    <t>clay-free</t>
  </si>
  <si>
    <t xml:space="preserve">Crushed zone, </t>
  </si>
  <si>
    <t>clayey joints</t>
  </si>
  <si>
    <t>assumed altered joints</t>
  </si>
  <si>
    <t>i *)</t>
  </si>
  <si>
    <t>Zone with</t>
  </si>
  <si>
    <t xml:space="preserve"> soft filling</t>
  </si>
  <si>
    <t>mainly fresh joints</t>
  </si>
  <si>
    <t>NOTE 1 →</t>
  </si>
  <si>
    <t>Example: For 'heavy rock burst' rock support is rock bolts spaced 1.3 m and fibrecrete 180 mm thick</t>
  </si>
  <si>
    <t>ESTIMATES OF ROCK SUPPORT CAPACITY</t>
  </si>
  <si>
    <t>Rock support capacity chart</t>
  </si>
  <si>
    <t>after Hoek E. 1998</t>
  </si>
  <si>
    <t>foliation</t>
  </si>
  <si>
    <t>tectonic</t>
  </si>
  <si>
    <t>60SE</t>
  </si>
  <si>
    <t>0.1-1</t>
  </si>
  <si>
    <t>N20E</t>
  </si>
  <si>
    <t>90</t>
  </si>
  <si>
    <t>0.5-2</t>
  </si>
  <si>
    <t>N160E</t>
  </si>
  <si>
    <t>45SW</t>
  </si>
  <si>
    <t>N110E</t>
  </si>
  <si>
    <t>Grey, folded gneiss</t>
  </si>
  <si>
    <t>N40E</t>
  </si>
  <si>
    <t>5 random joints</t>
  </si>
  <si>
    <t>20/60</t>
  </si>
  <si>
    <t>27-33</t>
  </si>
  <si>
    <t>33-41</t>
  </si>
  <si>
    <t>41-62</t>
  </si>
  <si>
    <t>62-140</t>
  </si>
  <si>
    <t>&gt;140</t>
  </si>
  <si>
    <t>Cubical blocks</t>
  </si>
  <si>
    <r>
      <t>SRF</t>
    </r>
    <r>
      <rPr>
        <vertAlign val="subscript"/>
        <sz val="7"/>
        <rFont val="Arial"/>
        <family val="2"/>
      </rPr>
      <t>s</t>
    </r>
    <r>
      <rPr>
        <sz val="7"/>
        <rFont val="Arial"/>
        <family val="2"/>
      </rPr>
      <t xml:space="preserve"> =</t>
    </r>
  </si>
  <si>
    <r>
      <t xml:space="preserve">Rock stress level </t>
    </r>
    <r>
      <rPr>
        <sz val="8"/>
        <rFont val="Arial"/>
        <family val="2"/>
      </rPr>
      <t xml:space="preserve">(SL) </t>
    </r>
    <r>
      <rPr>
        <sz val="7"/>
        <rFont val="Arial"/>
        <family val="2"/>
      </rPr>
      <t>or</t>
    </r>
    <r>
      <rPr>
        <b/>
        <sz val="8"/>
        <rFont val="Arial"/>
        <family val="2"/>
      </rPr>
      <t xml:space="preserve"> stress type</t>
    </r>
  </si>
  <si>
    <t xml:space="preserve"> Sedimentary rocks</t>
  </si>
  <si>
    <t xml:space="preserve"> Igneous rocks</t>
  </si>
  <si>
    <t xml:space="preserve"> Metamorphic rocks</t>
  </si>
  <si>
    <t xml:space="preserve"> Soil materials</t>
  </si>
  <si>
    <t>strength (MPa</t>
  </si>
  <si>
    <t>strength data from SINTEF, 1988</t>
  </si>
  <si>
    <t>Blue cells are for input</t>
  </si>
  <si>
    <t xml:space="preserve"> Blue cells are for input</t>
  </si>
  <si>
    <r>
      <t xml:space="preserve">When input both of  DJ  and  SRFz  are given, </t>
    </r>
    <r>
      <rPr>
        <b/>
        <i/>
        <sz val="8"/>
        <color rgb="FF0000FF"/>
        <rFont val="Calibri"/>
        <family val="2"/>
        <scheme val="minor"/>
      </rPr>
      <t>arching effect</t>
    </r>
    <r>
      <rPr>
        <i/>
        <sz val="8"/>
        <color rgb="FF0000FF"/>
        <rFont val="Calibri"/>
        <family val="2"/>
        <scheme val="minor"/>
      </rPr>
      <t xml:space="preserve"> from the adjacent rockmass to the weakness zone material is</t>
    </r>
  </si>
  <si>
    <r>
      <t xml:space="preserve">A. Input for </t>
    </r>
    <r>
      <rPr>
        <b/>
        <i/>
        <u/>
        <sz val="14"/>
        <color rgb="FF0000FF"/>
        <rFont val="Arial"/>
        <family val="2"/>
      </rPr>
      <t>jointed rockmasses</t>
    </r>
  </si>
  <si>
    <r>
      <t xml:space="preserve">  B. Input for weakness zones made separately </t>
    </r>
    <r>
      <rPr>
        <i/>
        <sz val="11"/>
        <color rgb="FF0000FF"/>
        <rFont val="Arial"/>
        <family val="2"/>
      </rPr>
      <t>(can also be used when the input for jointed rockmasses has been given)</t>
    </r>
  </si>
  <si>
    <r>
      <t xml:space="preserve">The calculated RMR-, Q- and RMi-values and the estimated rock support of </t>
    </r>
    <r>
      <rPr>
        <b/>
        <i/>
        <u/>
        <sz val="11"/>
        <color rgb="FF0000FF"/>
        <rFont val="Arial"/>
        <family val="2"/>
      </rPr>
      <t xml:space="preserve">jointed rockmass </t>
    </r>
  </si>
  <si>
    <r>
      <t xml:space="preserve">  By inserting 'x' in the Check box, the estimated rock support of  the </t>
    </r>
    <r>
      <rPr>
        <b/>
        <i/>
        <u/>
        <sz val="11"/>
        <color rgb="FF0000FF"/>
        <rFont val="Arial"/>
        <family val="2"/>
      </rPr>
      <t>weakness zone</t>
    </r>
    <r>
      <rPr>
        <b/>
        <i/>
        <sz val="11"/>
        <color rgb="FF0000FF"/>
        <rFont val="Arial"/>
        <family val="2"/>
      </rPr>
      <t xml:space="preserve"> is shown</t>
    </r>
  </si>
  <si>
    <r>
      <t xml:space="preserve">arching </t>
    </r>
    <r>
      <rPr>
        <sz val="6"/>
        <color theme="0" tint="-0.249977111117893"/>
        <rFont val="Consolas"/>
        <family val="3"/>
      </rPr>
      <t>→</t>
    </r>
  </si>
  <si>
    <r>
      <t xml:space="preserve">support </t>
    </r>
    <r>
      <rPr>
        <sz val="8"/>
        <color theme="0" tint="-0.249977111117893"/>
        <rFont val="Calibri"/>
        <family val="2"/>
        <scheme val="minor"/>
      </rPr>
      <t>Qz</t>
    </r>
    <r>
      <rPr>
        <vertAlign val="subscript"/>
        <sz val="8"/>
        <color theme="0" tint="-0.249977111117893"/>
        <rFont val="Calibri"/>
        <family val="2"/>
        <scheme val="minor"/>
      </rPr>
      <t>wall</t>
    </r>
    <r>
      <rPr>
        <sz val="8"/>
        <color theme="0" tint="-0.249977111117893"/>
        <rFont val="Calibri"/>
        <family val="2"/>
        <scheme val="minor"/>
      </rPr>
      <t xml:space="preserve"> =</t>
    </r>
  </si>
  <si>
    <r>
      <rPr>
        <b/>
        <sz val="9"/>
        <color theme="0" tint="-0.249977111117893"/>
        <rFont val="Calibri"/>
        <family val="2"/>
        <scheme val="minor"/>
      </rPr>
      <t>Q</t>
    </r>
    <r>
      <rPr>
        <vertAlign val="subscript"/>
        <sz val="9"/>
        <color theme="0" tint="-0.249977111117893"/>
        <rFont val="Calibri"/>
        <family val="2"/>
        <scheme val="minor"/>
      </rPr>
      <t>wall</t>
    </r>
    <r>
      <rPr>
        <sz val="9"/>
        <color theme="0" tint="-0.249977111117893"/>
        <rFont val="Calibri"/>
        <family val="2"/>
        <scheme val="minor"/>
      </rPr>
      <t xml:space="preserve"> =</t>
    </r>
  </si>
  <si>
    <t>60/45</t>
  </si>
  <si>
    <t>Arching of weakness zone is based on the Q-system expression:</t>
  </si>
  <si>
    <r>
      <t>logQ</t>
    </r>
    <r>
      <rPr>
        <vertAlign val="subscript"/>
        <sz val="8"/>
        <color theme="0" tint="-0.34998626667073579"/>
        <rFont val="Arial"/>
        <family val="2"/>
      </rPr>
      <t>m</t>
    </r>
    <r>
      <rPr>
        <sz val="8"/>
        <color theme="0" tint="-0.34998626667073579"/>
        <rFont val="Arial"/>
        <family val="2"/>
      </rPr>
      <t xml:space="preserve"> = (Tz * logQ</t>
    </r>
    <r>
      <rPr>
        <vertAlign val="subscript"/>
        <sz val="8"/>
        <color theme="0" tint="-0.34998626667073579"/>
        <rFont val="Arial"/>
        <family val="2"/>
      </rPr>
      <t xml:space="preserve">z </t>
    </r>
    <r>
      <rPr>
        <sz val="8"/>
        <color theme="0" tint="-0.34998626667073579"/>
        <rFont val="Arial"/>
        <family val="2"/>
      </rPr>
      <t>* logQ</t>
    </r>
    <r>
      <rPr>
        <vertAlign val="subscript"/>
        <sz val="8"/>
        <color theme="0" tint="-0.34998626667073579"/>
        <rFont val="Arial"/>
        <family val="2"/>
      </rPr>
      <t>a</t>
    </r>
    <r>
      <rPr>
        <sz val="8"/>
        <color theme="0" tint="-0.34998626667073579"/>
        <rFont val="Arial"/>
        <family val="2"/>
      </rPr>
      <t>)/(Tz + 1)</t>
    </r>
  </si>
  <si>
    <t>A simpler expression that may be used is:</t>
  </si>
  <si>
    <r>
      <t>Gc</t>
    </r>
    <r>
      <rPr>
        <vertAlign val="subscript"/>
        <sz val="8"/>
        <color theme="0" tint="-0.249977111117893"/>
        <rFont val="Arial"/>
        <family val="2"/>
      </rPr>
      <t>m</t>
    </r>
    <r>
      <rPr>
        <sz val="8"/>
        <color theme="0" tint="-0.249977111117893"/>
        <rFont val="Arial"/>
        <family val="2"/>
      </rPr>
      <t xml:space="preserve"> = (10Tz</t>
    </r>
    <r>
      <rPr>
        <vertAlign val="superscript"/>
        <sz val="8"/>
        <color theme="0" tint="-0.249977111117893"/>
        <rFont val="Arial"/>
        <family val="2"/>
      </rPr>
      <t>2</t>
    </r>
    <r>
      <rPr>
        <sz val="8"/>
        <color theme="0" tint="-0.249977111117893"/>
        <rFont val="Arial"/>
        <family val="2"/>
      </rPr>
      <t xml:space="preserve"> * Gc</t>
    </r>
    <r>
      <rPr>
        <vertAlign val="subscript"/>
        <sz val="8"/>
        <color theme="0" tint="-0.249977111117893"/>
        <rFont val="Arial"/>
        <family val="2"/>
      </rPr>
      <t>z</t>
    </r>
    <r>
      <rPr>
        <sz val="8"/>
        <color theme="0" tint="-0.249977111117893"/>
        <rFont val="Arial"/>
        <family val="2"/>
      </rPr>
      <t xml:space="preserve"> + Gc</t>
    </r>
    <r>
      <rPr>
        <vertAlign val="subscript"/>
        <sz val="8"/>
        <color theme="0" tint="-0.249977111117893"/>
        <rFont val="Arial"/>
        <family val="2"/>
      </rPr>
      <t>a</t>
    </r>
    <r>
      <rPr>
        <sz val="8"/>
        <color theme="0" tint="-0.249977111117893"/>
        <rFont val="Arial"/>
        <family val="2"/>
      </rPr>
      <t>) /(10Tz</t>
    </r>
    <r>
      <rPr>
        <vertAlign val="superscript"/>
        <sz val="8"/>
        <color theme="0" tint="-0.249977111117893"/>
        <rFont val="Arial"/>
        <family val="2"/>
      </rPr>
      <t>2</t>
    </r>
    <r>
      <rPr>
        <sz val="8"/>
        <color theme="0" tint="-0.249977111117893"/>
        <rFont val="Arial"/>
        <family val="2"/>
      </rPr>
      <t xml:space="preserve"> +1)  (Palmstrom 1995)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</si>
</sst>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0.0"/>
    <numFmt numFmtId="165" formatCode="0.000"/>
    <numFmt numFmtId="166" formatCode="0.00000"/>
    <numFmt numFmtId="167" formatCode="#,##0.0000000"/>
    <numFmt numFmtId="168" formatCode="0.0&quot;m&quot;"/>
    <numFmt numFmtId="169" formatCode="#,##0.00000"/>
    <numFmt numFmtId="170" formatCode="0.0&quot; m&quot;"/>
    <numFmt numFmtId="171" formatCode="0&quot; MPa&quot;"/>
    <numFmt numFmtId="172" formatCode="0.00&quot; m&quot;"/>
    <numFmt numFmtId="173" formatCode="0.00&quot; GPa&quot;"/>
    <numFmt numFmtId="174" formatCode="0&quot; mm&quot;"/>
    <numFmt numFmtId="175" formatCode="0.0&quot; m )&quot;"/>
    <numFmt numFmtId="176" formatCode="0.00000000000000000"/>
    <numFmt numFmtId="177" formatCode="0.0000"/>
    <numFmt numFmtId="178" formatCode="0.00&quot; dm³&quot;"/>
    <numFmt numFmtId="179" formatCode="0.000&quot; m³&quot;"/>
    <numFmt numFmtId="180" formatCode="0&quot; m³&quot;"/>
    <numFmt numFmtId="181" formatCode="0&quot; joints/m³&quot;"/>
    <numFmt numFmtId="182" formatCode="0.0000&quot; m³&quot;"/>
    <numFmt numFmtId="183" formatCode="\=\ 0.00&quot; dm³&quot;"/>
    <numFmt numFmtId="184" formatCode="0.00000&quot; m³&quot;"/>
    <numFmt numFmtId="185" formatCode="0.000&quot; dm³&quot;"/>
    <numFmt numFmtId="186" formatCode="0.000000"/>
    <numFmt numFmtId="187" formatCode="yyyy\-mm\-dd;@"/>
    <numFmt numFmtId="188" formatCode="0.00&quot; MPa&quot;"/>
    <numFmt numFmtId="189" formatCode="0.0&quot; MPa&quot;"/>
    <numFmt numFmtId="190" formatCode="0.000&quot; m&quot;"/>
    <numFmt numFmtId="191" formatCode="0.000000000000000000"/>
    <numFmt numFmtId="192" formatCode="0.000&quot; MPa&quot;"/>
    <numFmt numFmtId="193" formatCode="\=\ 0.000&quot; m³&quot;"/>
    <numFmt numFmtId="194" formatCode="0&quot; dm³&quot;"/>
    <numFmt numFmtId="195" formatCode="\=\ 0.0&quot; dm³&quot;"/>
    <numFmt numFmtId="196" formatCode="0.0&quot; dm³&quot;"/>
    <numFmt numFmtId="197" formatCode="0&quot;°&quot;"/>
    <numFmt numFmtId="198" formatCode="0.000000000000000"/>
    <numFmt numFmtId="199" formatCode="0.000000000000"/>
  </numFmts>
  <fonts count="417">
    <font>
      <sz val="10"/>
      <name val="Arial"/>
    </font>
    <font>
      <sz val="10"/>
      <name val="Arial"/>
      <family val="2"/>
    </font>
    <font>
      <b/>
      <sz val="8"/>
      <name val="Arial"/>
      <family val="2"/>
    </font>
    <font>
      <sz val="8"/>
      <name val="Arial"/>
      <family val="2"/>
    </font>
    <font>
      <sz val="9"/>
      <name val="Arial"/>
      <family val="2"/>
    </font>
    <font>
      <sz val="10"/>
      <name val="Arial"/>
      <family val="2"/>
    </font>
    <font>
      <sz val="7"/>
      <color indexed="12"/>
      <name val="Arial"/>
      <family val="2"/>
    </font>
    <font>
      <u/>
      <sz val="12.5"/>
      <color indexed="12"/>
      <name val="MS Sans Serif"/>
      <family val="2"/>
    </font>
    <font>
      <sz val="8"/>
      <color indexed="12"/>
      <name val="Arial"/>
      <family val="2"/>
    </font>
    <font>
      <sz val="7"/>
      <name val="Arial"/>
      <family val="2"/>
    </font>
    <font>
      <sz val="9"/>
      <color indexed="12"/>
      <name val="Arial"/>
      <family val="2"/>
    </font>
    <font>
      <b/>
      <sz val="10"/>
      <name val="Arial"/>
      <family val="2"/>
    </font>
    <font>
      <b/>
      <sz val="7"/>
      <name val="Arial"/>
      <family val="2"/>
    </font>
    <font>
      <b/>
      <sz val="9"/>
      <name val="Arial"/>
      <family val="2"/>
    </font>
    <font>
      <b/>
      <sz val="8"/>
      <color indexed="8"/>
      <name val="Arial"/>
      <family val="2"/>
    </font>
    <font>
      <sz val="8"/>
      <color indexed="8"/>
      <name val="Arial"/>
      <family val="2"/>
    </font>
    <font>
      <sz val="7"/>
      <color indexed="8"/>
      <name val="Arial"/>
      <family val="2"/>
    </font>
    <font>
      <sz val="7"/>
      <color indexed="8"/>
      <name val="Symbol"/>
      <family val="1"/>
      <charset val="2"/>
    </font>
    <font>
      <vertAlign val="subscript"/>
      <sz val="7"/>
      <color indexed="8"/>
      <name val="Arial"/>
      <family val="2"/>
    </font>
    <font>
      <b/>
      <sz val="7"/>
      <color indexed="8"/>
      <name val="Arial"/>
      <family val="2"/>
    </font>
    <font>
      <vertAlign val="superscript"/>
      <sz val="7"/>
      <name val="Arial"/>
      <family val="2"/>
    </font>
    <font>
      <b/>
      <i/>
      <sz val="7"/>
      <name val="Arial"/>
      <family val="2"/>
    </font>
    <font>
      <i/>
      <sz val="7"/>
      <name val="Arial"/>
      <family val="2"/>
    </font>
    <font>
      <sz val="7"/>
      <name val="Symbol"/>
      <family val="1"/>
      <charset val="2"/>
    </font>
    <font>
      <vertAlign val="subscript"/>
      <sz val="7"/>
      <name val="Symbol"/>
      <family val="1"/>
      <charset val="2"/>
    </font>
    <font>
      <vertAlign val="subscript"/>
      <sz val="7"/>
      <name val="Arial"/>
      <family val="2"/>
    </font>
    <font>
      <b/>
      <sz val="11"/>
      <name val="Arial"/>
      <family val="2"/>
    </font>
    <font>
      <vertAlign val="subscript"/>
      <sz val="8"/>
      <name val="Arial"/>
      <family val="2"/>
    </font>
    <font>
      <i/>
      <sz val="8"/>
      <name val="Arial"/>
      <family val="2"/>
    </font>
    <font>
      <vertAlign val="subscript"/>
      <sz val="9"/>
      <name val="Arial"/>
      <family val="2"/>
    </font>
    <font>
      <i/>
      <sz val="8"/>
      <color indexed="12"/>
      <name val="Arial"/>
      <family val="2"/>
    </font>
    <font>
      <sz val="8"/>
      <name val="Symbol"/>
      <family val="1"/>
      <charset val="2"/>
    </font>
    <font>
      <sz val="9"/>
      <color indexed="8"/>
      <name val="Arial"/>
      <family val="2"/>
    </font>
    <font>
      <sz val="8"/>
      <name val="Arial"/>
      <family val="2"/>
    </font>
    <font>
      <sz val="7"/>
      <name val="Arial"/>
      <family val="2"/>
    </font>
    <font>
      <vertAlign val="superscript"/>
      <sz val="8"/>
      <name val="Arial"/>
      <family val="2"/>
    </font>
    <font>
      <b/>
      <sz val="12"/>
      <name val="Arial"/>
      <family val="2"/>
    </font>
    <font>
      <sz val="8"/>
      <color indexed="12"/>
      <name val="Arial"/>
      <family val="2"/>
    </font>
    <font>
      <b/>
      <sz val="9"/>
      <color indexed="8"/>
      <name val="Arial"/>
      <family val="2"/>
    </font>
    <font>
      <i/>
      <sz val="7"/>
      <name val="Arial"/>
      <family val="2"/>
    </font>
    <font>
      <b/>
      <i/>
      <sz val="8"/>
      <name val="Arial"/>
      <family val="2"/>
    </font>
    <font>
      <b/>
      <i/>
      <sz val="9"/>
      <color indexed="12"/>
      <name val="Arial"/>
      <family val="2"/>
    </font>
    <font>
      <u/>
      <sz val="8.5"/>
      <color indexed="12"/>
      <name val="MS Sans Serif"/>
      <family val="2"/>
    </font>
    <font>
      <strike/>
      <sz val="10"/>
      <name val="Arial"/>
      <family val="2"/>
    </font>
    <font>
      <strike/>
      <sz val="10"/>
      <name val="Cambria"/>
      <family val="1"/>
    </font>
    <font>
      <sz val="6"/>
      <name val="Arial"/>
      <family val="2"/>
    </font>
    <font>
      <i/>
      <vertAlign val="superscript"/>
      <sz val="7"/>
      <name val="Arial"/>
      <family val="2"/>
    </font>
    <font>
      <i/>
      <sz val="7"/>
      <name val="Symbol"/>
      <family val="1"/>
      <charset val="2"/>
    </font>
    <font>
      <i/>
      <vertAlign val="subscript"/>
      <sz val="7"/>
      <name val="Symbol"/>
      <family val="1"/>
      <charset val="2"/>
    </font>
    <font>
      <i/>
      <vertAlign val="subscript"/>
      <sz val="7"/>
      <name val="Arial"/>
      <family val="2"/>
    </font>
    <font>
      <i/>
      <sz val="7"/>
      <color indexed="8"/>
      <name val="Arial"/>
      <family val="2"/>
    </font>
    <font>
      <i/>
      <vertAlign val="superscript"/>
      <sz val="7"/>
      <color indexed="8"/>
      <name val="Arial"/>
      <family val="2"/>
    </font>
    <font>
      <sz val="6"/>
      <color indexed="8"/>
      <name val="Arial"/>
      <family val="2"/>
    </font>
    <font>
      <i/>
      <sz val="6"/>
      <name val="Arial"/>
      <family val="2"/>
    </font>
    <font>
      <sz val="8"/>
      <color indexed="8"/>
      <name val="Symbol"/>
      <family val="1"/>
      <charset val="2"/>
    </font>
    <font>
      <vertAlign val="subscript"/>
      <sz val="8"/>
      <color indexed="8"/>
      <name val="Arial"/>
      <family val="2"/>
    </font>
    <font>
      <sz val="7"/>
      <name val="Cambria"/>
      <family val="1"/>
    </font>
    <font>
      <i/>
      <sz val="7"/>
      <color indexed="8"/>
      <name val="Symbol"/>
      <family val="1"/>
      <charset val="2"/>
    </font>
    <font>
      <vertAlign val="superscript"/>
      <sz val="9"/>
      <name val="Arial"/>
      <family val="2"/>
    </font>
    <font>
      <sz val="7"/>
      <color indexed="12"/>
      <name val="Arial"/>
      <family val="2"/>
    </font>
    <font>
      <sz val="7"/>
      <color indexed="12"/>
      <name val="Arial"/>
      <family val="2"/>
    </font>
    <font>
      <i/>
      <sz val="8"/>
      <color indexed="8"/>
      <name val="Arial"/>
      <family val="2"/>
    </font>
    <font>
      <u/>
      <sz val="8"/>
      <color indexed="12"/>
      <name val="Arial"/>
      <family val="2"/>
    </font>
    <font>
      <b/>
      <sz val="6"/>
      <name val="Arial"/>
      <family val="2"/>
    </font>
    <font>
      <b/>
      <i/>
      <u/>
      <sz val="9"/>
      <color indexed="12"/>
      <name val="Arial"/>
      <family val="2"/>
    </font>
    <font>
      <vertAlign val="superscript"/>
      <sz val="7"/>
      <color indexed="8"/>
      <name val="Arial"/>
      <family val="2"/>
    </font>
    <font>
      <sz val="11"/>
      <color indexed="8"/>
      <name val="Arial"/>
      <family val="2"/>
    </font>
    <font>
      <sz val="8"/>
      <color rgb="FF0000CC"/>
      <name val="Arial"/>
      <family val="2"/>
    </font>
    <font>
      <sz val="7"/>
      <color rgb="FF0000CC"/>
      <name val="Arial"/>
      <family val="2"/>
    </font>
    <font>
      <i/>
      <sz val="7"/>
      <color theme="1"/>
      <name val="Arial"/>
      <family val="2"/>
    </font>
    <font>
      <sz val="7"/>
      <color theme="1"/>
      <name val="Arial"/>
      <family val="2"/>
    </font>
    <font>
      <b/>
      <i/>
      <sz val="10"/>
      <color rgb="FF0000CC"/>
      <name val="Arial"/>
      <family val="2"/>
    </font>
    <font>
      <b/>
      <sz val="9"/>
      <color rgb="FF0000CC"/>
      <name val="Arial"/>
      <family val="2"/>
    </font>
    <font>
      <b/>
      <sz val="8"/>
      <color rgb="FFFF0000"/>
      <name val="Arial"/>
      <family val="2"/>
    </font>
    <font>
      <sz val="8"/>
      <color rgb="FF3333FF"/>
      <name val="Arial"/>
      <family val="2"/>
    </font>
    <font>
      <b/>
      <sz val="7"/>
      <color rgb="FF0000CC"/>
      <name val="Arial"/>
      <family val="2"/>
    </font>
    <font>
      <b/>
      <sz val="7"/>
      <color theme="1"/>
      <name val="Arial"/>
      <family val="2"/>
    </font>
    <font>
      <b/>
      <sz val="8"/>
      <color rgb="FF0000CC"/>
      <name val="Arial"/>
      <family val="2"/>
    </font>
    <font>
      <b/>
      <sz val="8"/>
      <color theme="1"/>
      <name val="Arial"/>
      <family val="2"/>
    </font>
    <font>
      <sz val="7"/>
      <color rgb="FFFF0000"/>
      <name val="Arial"/>
      <family val="2"/>
    </font>
    <font>
      <sz val="7"/>
      <color rgb="FF0000CC"/>
      <name val="Symbol"/>
      <family val="1"/>
      <charset val="2"/>
    </font>
    <font>
      <sz val="8"/>
      <color rgb="FF00B050"/>
      <name val="Arial"/>
      <family val="2"/>
    </font>
    <font>
      <sz val="8"/>
      <color theme="0"/>
      <name val="Arial"/>
      <family val="2"/>
    </font>
    <font>
      <i/>
      <sz val="7"/>
      <color rgb="FFFF0000"/>
      <name val="Arial"/>
      <family val="2"/>
    </font>
    <font>
      <sz val="11"/>
      <name val="Arial"/>
      <family val="2"/>
    </font>
    <font>
      <b/>
      <sz val="7"/>
      <name val="Calibri"/>
      <family val="2"/>
    </font>
    <font>
      <i/>
      <sz val="8"/>
      <color rgb="FF0000CC"/>
      <name val="Arial"/>
      <family val="2"/>
    </font>
    <font>
      <sz val="6"/>
      <color rgb="FFFF0000"/>
      <name val="Arial"/>
      <family val="2"/>
    </font>
    <font>
      <b/>
      <sz val="14"/>
      <name val="Arial"/>
      <family val="2"/>
    </font>
    <font>
      <i/>
      <sz val="7"/>
      <color rgb="FF0000CC"/>
      <name val="Arial"/>
      <family val="2"/>
    </font>
    <font>
      <sz val="5"/>
      <name val="Arial"/>
      <family val="2"/>
    </font>
    <font>
      <sz val="7"/>
      <color indexed="8"/>
      <name val="Calibri"/>
      <family val="2"/>
      <scheme val="minor"/>
    </font>
    <font>
      <sz val="6"/>
      <color rgb="FF0000CC"/>
      <name val="Arial"/>
      <family val="2"/>
    </font>
    <font>
      <sz val="7"/>
      <color theme="1"/>
      <name val="Calibri"/>
      <family val="2"/>
    </font>
    <font>
      <b/>
      <u/>
      <sz val="8"/>
      <color theme="1"/>
      <name val="Arial"/>
      <family val="2"/>
    </font>
    <font>
      <b/>
      <sz val="7"/>
      <color rgb="FFFF0000"/>
      <name val="Arial"/>
      <family val="2"/>
    </font>
    <font>
      <sz val="7"/>
      <name val="Calibri"/>
      <family val="2"/>
      <scheme val="minor"/>
    </font>
    <font>
      <sz val="8"/>
      <color rgb="FF0000CC"/>
      <name val="Calibri"/>
      <family val="2"/>
      <scheme val="minor"/>
    </font>
    <font>
      <sz val="7"/>
      <color rgb="FF0000CC"/>
      <name val="Calibri"/>
      <family val="2"/>
      <scheme val="minor"/>
    </font>
    <font>
      <b/>
      <sz val="10"/>
      <color rgb="FF0000CC"/>
      <name val="Arial"/>
      <family val="2"/>
    </font>
    <font>
      <sz val="7"/>
      <color rgb="FF3333FF"/>
      <name val="Arial"/>
      <family val="2"/>
    </font>
    <font>
      <b/>
      <sz val="8"/>
      <color rgb="FF3333FF"/>
      <name val="Arial"/>
      <family val="2"/>
    </font>
    <font>
      <i/>
      <sz val="7"/>
      <color rgb="FF3333FF"/>
      <name val="Arial"/>
      <family val="2"/>
    </font>
    <font>
      <sz val="9"/>
      <color rgb="FF3333FF"/>
      <name val="Arial"/>
      <family val="2"/>
    </font>
    <font>
      <sz val="8"/>
      <name val="Calibri"/>
      <family val="2"/>
      <scheme val="minor"/>
    </font>
    <font>
      <b/>
      <sz val="8"/>
      <name val="Calibri"/>
      <family val="2"/>
    </font>
    <font>
      <b/>
      <sz val="8"/>
      <color indexed="8"/>
      <name val="Calibri"/>
      <family val="2"/>
      <scheme val="minor"/>
    </font>
    <font>
      <u/>
      <sz val="8"/>
      <name val="Arial"/>
      <family val="2"/>
    </font>
    <font>
      <b/>
      <vertAlign val="superscript"/>
      <sz val="9"/>
      <name val="Arial"/>
      <family val="2"/>
    </font>
    <font>
      <i/>
      <sz val="9"/>
      <name val="Arial"/>
      <family val="2"/>
    </font>
    <font>
      <b/>
      <sz val="9"/>
      <color rgb="FF0000CC"/>
      <name val="Calibri"/>
      <family val="2"/>
      <scheme val="minor"/>
    </font>
    <font>
      <sz val="6"/>
      <color indexed="12"/>
      <name val="Arial"/>
      <family val="2"/>
    </font>
    <font>
      <sz val="7"/>
      <color indexed="8"/>
      <name val="Calibri"/>
      <family val="2"/>
    </font>
    <font>
      <u/>
      <sz val="10"/>
      <color indexed="8"/>
      <name val="Arial"/>
      <family val="2"/>
    </font>
    <font>
      <sz val="8"/>
      <color theme="1"/>
      <name val="Calibri"/>
      <family val="2"/>
      <scheme val="minor"/>
    </font>
    <font>
      <sz val="7"/>
      <color theme="1"/>
      <name val="Calibri"/>
      <family val="2"/>
      <scheme val="minor"/>
    </font>
    <font>
      <i/>
      <sz val="10"/>
      <color theme="1"/>
      <name val="Times New Roman"/>
      <family val="1"/>
    </font>
    <font>
      <sz val="8"/>
      <color theme="1"/>
      <name val="Arial"/>
      <family val="2"/>
    </font>
    <font>
      <b/>
      <sz val="8"/>
      <color theme="1"/>
      <name val="Symbol"/>
      <family val="1"/>
      <charset val="2"/>
    </font>
    <font>
      <b/>
      <vertAlign val="subscript"/>
      <sz val="8"/>
      <color theme="1"/>
      <name val="Times New Roman"/>
      <family val="1"/>
    </font>
    <font>
      <sz val="10"/>
      <name val="Calibri"/>
      <family val="2"/>
    </font>
    <font>
      <b/>
      <vertAlign val="subscript"/>
      <sz val="8"/>
      <color theme="1"/>
      <name val="Arial"/>
      <family val="2"/>
    </font>
    <font>
      <sz val="7"/>
      <color theme="0" tint="-0.34998626667073579"/>
      <name val="Arial"/>
      <family val="2"/>
    </font>
    <font>
      <i/>
      <sz val="7"/>
      <color indexed="12"/>
      <name val="Arial"/>
      <family val="2"/>
    </font>
    <font>
      <b/>
      <sz val="10"/>
      <color rgb="FF3333FF"/>
      <name val="Arial"/>
      <family val="2"/>
    </font>
    <font>
      <sz val="7"/>
      <color rgb="FF000000"/>
      <name val="Arial"/>
      <family val="2"/>
    </font>
    <font>
      <b/>
      <sz val="7"/>
      <color rgb="FF000000"/>
      <name val="Arial"/>
      <family val="2"/>
    </font>
    <font>
      <b/>
      <sz val="7"/>
      <color rgb="FF3333FF"/>
      <name val="Arial"/>
      <family val="2"/>
    </font>
    <font>
      <i/>
      <sz val="11"/>
      <color indexed="8"/>
      <name val="Arial"/>
      <family val="2"/>
    </font>
    <font>
      <b/>
      <sz val="8"/>
      <color rgb="FF000000"/>
      <name val="Arial"/>
      <family val="2"/>
    </font>
    <font>
      <sz val="6"/>
      <color rgb="FF000000"/>
      <name val="Arial"/>
      <family val="2"/>
    </font>
    <font>
      <u/>
      <sz val="11"/>
      <color indexed="8"/>
      <name val="Arial"/>
      <family val="2"/>
    </font>
    <font>
      <sz val="3"/>
      <color theme="0"/>
      <name val="Arial"/>
      <family val="2"/>
    </font>
    <font>
      <b/>
      <i/>
      <sz val="10"/>
      <name val="Arial"/>
      <family val="2"/>
    </font>
    <font>
      <sz val="9"/>
      <name val="Calibri"/>
      <family val="2"/>
    </font>
    <font>
      <sz val="7"/>
      <color rgb="FFFF0000"/>
      <name val="Calibri"/>
      <family val="2"/>
      <scheme val="minor"/>
    </font>
    <font>
      <sz val="4"/>
      <color indexed="8"/>
      <name val="Calibri"/>
      <family val="2"/>
      <scheme val="minor"/>
    </font>
    <font>
      <b/>
      <sz val="8"/>
      <color rgb="FF0000CC"/>
      <name val="Calibri"/>
      <family val="2"/>
      <scheme val="minor"/>
    </font>
    <font>
      <sz val="11"/>
      <color indexed="8"/>
      <name val="Calibri"/>
      <family val="2"/>
    </font>
    <font>
      <b/>
      <sz val="9"/>
      <color indexed="8"/>
      <name val="Arial Black"/>
      <family val="2"/>
    </font>
    <font>
      <sz val="6"/>
      <color indexed="10"/>
      <name val="Arial"/>
      <family val="2"/>
    </font>
    <font>
      <vertAlign val="superscript"/>
      <sz val="6"/>
      <color rgb="FF000000"/>
      <name val="Arial"/>
      <family val="2"/>
    </font>
    <font>
      <sz val="6"/>
      <name val="Calibri"/>
      <family val="2"/>
      <scheme val="minor"/>
    </font>
    <font>
      <vertAlign val="superscript"/>
      <sz val="8"/>
      <name val="Calibri"/>
      <family val="2"/>
      <scheme val="minor"/>
    </font>
    <font>
      <i/>
      <sz val="8"/>
      <color rgb="FF0000CC"/>
      <name val="Calibri"/>
      <family val="2"/>
      <scheme val="minor"/>
    </font>
    <font>
      <b/>
      <sz val="9"/>
      <name val="Calibri"/>
      <family val="2"/>
      <scheme val="minor"/>
    </font>
    <font>
      <b/>
      <sz val="8"/>
      <name val="Calibri"/>
      <family val="2"/>
      <scheme val="minor"/>
    </font>
    <font>
      <b/>
      <sz val="7"/>
      <name val="Calibri"/>
      <family val="2"/>
      <scheme val="minor"/>
    </font>
    <font>
      <b/>
      <sz val="7"/>
      <color rgb="FFFF0000"/>
      <name val="Calibri"/>
      <family val="2"/>
      <scheme val="minor"/>
    </font>
    <font>
      <sz val="6"/>
      <color indexed="8"/>
      <name val="Calibri"/>
      <family val="2"/>
      <scheme val="minor"/>
    </font>
    <font>
      <sz val="7"/>
      <color indexed="12"/>
      <name val="Cambria"/>
      <family val="1"/>
    </font>
    <font>
      <vertAlign val="subscript"/>
      <sz val="8"/>
      <name val="Calibri"/>
      <family val="2"/>
      <scheme val="minor"/>
    </font>
    <font>
      <i/>
      <sz val="9"/>
      <color indexed="8"/>
      <name val="Arial"/>
      <family val="2"/>
    </font>
    <font>
      <sz val="8"/>
      <color indexed="8"/>
      <name val="Calibri"/>
      <family val="2"/>
      <scheme val="minor"/>
    </font>
    <font>
      <i/>
      <sz val="7"/>
      <color rgb="FF0000CC"/>
      <name val="Calibri"/>
      <family val="2"/>
      <scheme val="minor"/>
    </font>
    <font>
      <vertAlign val="subscript"/>
      <sz val="7"/>
      <color rgb="FF000000"/>
      <name val="Arial"/>
      <family val="2"/>
    </font>
    <font>
      <sz val="5"/>
      <color rgb="FF000000"/>
      <name val="Arial"/>
      <family val="2"/>
    </font>
    <font>
      <vertAlign val="superscript"/>
      <sz val="6"/>
      <name val="Calibri"/>
      <family val="2"/>
      <scheme val="minor"/>
    </font>
    <font>
      <sz val="9"/>
      <color indexed="81"/>
      <name val="Tahoma"/>
      <family val="2"/>
    </font>
    <font>
      <i/>
      <sz val="6"/>
      <color rgb="FFFF0000"/>
      <name val="Arial"/>
      <family val="2"/>
    </font>
    <font>
      <i/>
      <sz val="6"/>
      <color indexed="8"/>
      <name val="Arial"/>
      <family val="2"/>
    </font>
    <font>
      <b/>
      <sz val="7"/>
      <color rgb="FFFF0000"/>
      <name val="Arial Black"/>
      <family val="2"/>
    </font>
    <font>
      <b/>
      <sz val="8"/>
      <color rgb="FFFF0000"/>
      <name val="Calibri"/>
      <family val="2"/>
      <scheme val="minor"/>
    </font>
    <font>
      <sz val="6"/>
      <color rgb="FF0000CC"/>
      <name val="Calibri"/>
      <family val="2"/>
      <scheme val="minor"/>
    </font>
    <font>
      <sz val="5"/>
      <color indexed="8"/>
      <name val="Calibri"/>
      <family val="2"/>
      <scheme val="minor"/>
    </font>
    <font>
      <b/>
      <sz val="7"/>
      <color indexed="8"/>
      <name val="Calibri"/>
      <family val="2"/>
      <scheme val="minor"/>
    </font>
    <font>
      <sz val="7"/>
      <color rgb="FF000000"/>
      <name val="Calibri"/>
      <family val="2"/>
      <scheme val="minor"/>
    </font>
    <font>
      <b/>
      <sz val="10"/>
      <color indexed="8"/>
      <name val="Arial Black"/>
      <family val="2"/>
    </font>
    <font>
      <b/>
      <sz val="8"/>
      <color indexed="8"/>
      <name val="Arial Black"/>
      <family val="2"/>
    </font>
    <font>
      <b/>
      <i/>
      <sz val="7"/>
      <color rgb="FFFF0000"/>
      <name val="Arial"/>
      <family val="2"/>
    </font>
    <font>
      <b/>
      <sz val="9"/>
      <color rgb="FF000000"/>
      <name val="Arial"/>
      <family val="2"/>
    </font>
    <font>
      <sz val="7"/>
      <color rgb="FF000000"/>
      <name val="Symbol"/>
      <family val="1"/>
      <charset val="2"/>
    </font>
    <font>
      <sz val="7"/>
      <color indexed="8"/>
      <name val="Arial"/>
      <family val="1"/>
      <charset val="2"/>
    </font>
    <font>
      <b/>
      <sz val="8"/>
      <name val="Symbol"/>
      <family val="1"/>
      <charset val="2"/>
    </font>
    <font>
      <vertAlign val="superscript"/>
      <sz val="7"/>
      <color rgb="FF000000"/>
      <name val="Symbol"/>
      <family val="1"/>
      <charset val="2"/>
    </font>
    <font>
      <vertAlign val="superscript"/>
      <sz val="6"/>
      <color rgb="FF0000CC"/>
      <name val="Arial"/>
      <family val="2"/>
    </font>
    <font>
      <b/>
      <i/>
      <sz val="7"/>
      <color rgb="FF0000CC"/>
      <name val="Calibri"/>
      <family val="2"/>
      <scheme val="minor"/>
    </font>
    <font>
      <sz val="6"/>
      <color rgb="FF000000"/>
      <name val="Symbol"/>
      <family val="1"/>
      <charset val="2"/>
    </font>
    <font>
      <sz val="6"/>
      <color indexed="8"/>
      <name val="Arial"/>
      <family val="1"/>
      <charset val="2"/>
    </font>
    <font>
      <i/>
      <sz val="6"/>
      <color rgb="FF0000CC"/>
      <name val="Calibri"/>
      <family val="2"/>
      <scheme val="minor"/>
    </font>
    <font>
      <sz val="7"/>
      <color indexed="12"/>
      <name val="Calibri"/>
      <family val="2"/>
      <scheme val="minor"/>
    </font>
    <font>
      <sz val="6.5"/>
      <color indexed="8"/>
      <name val="Calibri"/>
      <family val="2"/>
      <scheme val="minor"/>
    </font>
    <font>
      <sz val="6.5"/>
      <color theme="0"/>
      <name val="Calibri"/>
      <family val="2"/>
      <scheme val="minor"/>
    </font>
    <font>
      <sz val="7"/>
      <color indexed="81"/>
      <name val="Tahoma"/>
      <family val="2"/>
    </font>
    <font>
      <u/>
      <sz val="7"/>
      <color indexed="81"/>
      <name val="Tahoma"/>
      <family val="2"/>
    </font>
    <font>
      <sz val="7"/>
      <name val="Arial Narrow"/>
      <family val="2"/>
    </font>
    <font>
      <sz val="8"/>
      <name val="Arial Narrow"/>
      <family val="2"/>
    </font>
    <font>
      <b/>
      <sz val="9"/>
      <name val="Arial Black"/>
      <family val="2"/>
    </font>
    <font>
      <sz val="7"/>
      <color indexed="8"/>
      <name val="Arial Narrow"/>
      <family val="2"/>
    </font>
    <font>
      <sz val="6"/>
      <name val="Arial Narrow"/>
      <family val="2"/>
    </font>
    <font>
      <b/>
      <sz val="9"/>
      <color indexed="8"/>
      <name val="Calibri"/>
      <family val="2"/>
      <scheme val="minor"/>
    </font>
    <font>
      <sz val="6"/>
      <color indexed="8"/>
      <name val="Arial Narrow"/>
      <family val="2"/>
    </font>
    <font>
      <sz val="6"/>
      <color rgb="FF0000CC"/>
      <name val="Arial Narrow"/>
      <family val="2"/>
    </font>
    <font>
      <sz val="8"/>
      <color indexed="8"/>
      <name val="Arial Narrow"/>
      <family val="2"/>
    </font>
    <font>
      <sz val="7"/>
      <color rgb="FF0000CC"/>
      <name val="Arial Narrow"/>
      <family val="2"/>
    </font>
    <font>
      <sz val="8"/>
      <color rgb="FF3333FF"/>
      <name val="Arial Narrow"/>
      <family val="2"/>
    </font>
    <font>
      <sz val="7"/>
      <color rgb="FF3333FF"/>
      <name val="Arial Narrow"/>
      <family val="2"/>
    </font>
    <font>
      <sz val="7"/>
      <color indexed="81"/>
      <name val="Calibri"/>
      <family val="2"/>
      <scheme val="minor"/>
    </font>
    <font>
      <i/>
      <sz val="6"/>
      <name val="Arial Narrow"/>
      <family val="2"/>
    </font>
    <font>
      <i/>
      <sz val="7"/>
      <name val="Arial Narrow"/>
      <family val="2"/>
    </font>
    <font>
      <i/>
      <sz val="6"/>
      <color indexed="8"/>
      <name val="Arial Narrow"/>
      <family val="2"/>
    </font>
    <font>
      <sz val="8"/>
      <color indexed="12"/>
      <name val="Arial Narrow"/>
      <family val="2"/>
    </font>
    <font>
      <sz val="11"/>
      <color indexed="8"/>
      <name val="Arial Narrow"/>
      <family val="2"/>
    </font>
    <font>
      <i/>
      <sz val="7"/>
      <color indexed="10"/>
      <name val="Arial Narrow"/>
      <family val="2"/>
    </font>
    <font>
      <i/>
      <sz val="7"/>
      <color rgb="FFFF0000"/>
      <name val="Arial Narrow"/>
      <family val="2"/>
    </font>
    <font>
      <sz val="7"/>
      <color rgb="FFFF0000"/>
      <name val="Arial Narrow"/>
      <family val="2"/>
    </font>
    <font>
      <sz val="11"/>
      <color rgb="FF3333FF"/>
      <name val="Arial Narrow"/>
      <family val="2"/>
    </font>
    <font>
      <sz val="7"/>
      <color indexed="12"/>
      <name val="Arial Narrow"/>
      <family val="2"/>
    </font>
    <font>
      <sz val="9"/>
      <color indexed="8"/>
      <name val="Arial Narrow"/>
      <family val="2"/>
    </font>
    <font>
      <i/>
      <sz val="8"/>
      <name val="Arial Narrow"/>
      <family val="2"/>
    </font>
    <font>
      <b/>
      <i/>
      <sz val="9"/>
      <color rgb="FF0000CC"/>
      <name val="Calibri"/>
      <family val="2"/>
      <scheme val="minor"/>
    </font>
    <font>
      <b/>
      <sz val="8"/>
      <name val="Arial Black"/>
      <family val="2"/>
    </font>
    <font>
      <b/>
      <sz val="8"/>
      <color indexed="8"/>
      <name val="Calibri"/>
      <family val="2"/>
    </font>
    <font>
      <b/>
      <sz val="11.35"/>
      <color indexed="8"/>
      <name val="Calibri"/>
      <family val="2"/>
    </font>
    <font>
      <sz val="8"/>
      <color rgb="FF000000"/>
      <name val="Symbol"/>
      <family val="1"/>
      <charset val="2"/>
    </font>
    <font>
      <b/>
      <sz val="7"/>
      <color indexed="8"/>
      <name val="Arial Narrow"/>
      <family val="2"/>
    </font>
    <font>
      <i/>
      <sz val="7"/>
      <color rgb="FF3333FF"/>
      <name val="Arial Narrow"/>
      <family val="2"/>
    </font>
    <font>
      <vertAlign val="subscript"/>
      <sz val="5"/>
      <color rgb="FF000000"/>
      <name val="Arial"/>
      <family val="2"/>
    </font>
    <font>
      <i/>
      <sz val="8"/>
      <color rgb="FF0000CC"/>
      <name val="Arial Narrow"/>
      <family val="2"/>
    </font>
    <font>
      <i/>
      <sz val="7"/>
      <color rgb="FF0000CC"/>
      <name val="Arial Narrow"/>
      <family val="2"/>
    </font>
    <font>
      <b/>
      <sz val="14"/>
      <name val="Arial Black"/>
      <family val="2"/>
    </font>
    <font>
      <sz val="14"/>
      <name val="Arial Black"/>
      <family val="2"/>
    </font>
    <font>
      <b/>
      <i/>
      <sz val="11"/>
      <name val="Times New Roman"/>
      <family val="1"/>
    </font>
    <font>
      <sz val="10"/>
      <name val="Times New Roman"/>
      <family val="1"/>
    </font>
    <font>
      <sz val="8.0500000000000007"/>
      <name val="Symbol"/>
      <family val="1"/>
      <charset val="2"/>
    </font>
    <font>
      <sz val="7"/>
      <name val="Calibri"/>
      <family val="2"/>
    </font>
    <font>
      <sz val="11"/>
      <color theme="0" tint="-0.249977111117893"/>
      <name val="Arial"/>
      <family val="2"/>
    </font>
    <font>
      <b/>
      <sz val="11"/>
      <color theme="0" tint="-0.249977111117893"/>
      <name val="Arial"/>
      <family val="2"/>
    </font>
    <font>
      <sz val="10"/>
      <color theme="0" tint="-0.249977111117893"/>
      <name val="Arial"/>
      <family val="2"/>
    </font>
    <font>
      <b/>
      <sz val="8"/>
      <color theme="0" tint="-0.249977111117893"/>
      <name val="Arial"/>
      <family val="2"/>
    </font>
    <font>
      <sz val="7"/>
      <color theme="0" tint="-0.249977111117893"/>
      <name val="Calibri"/>
      <family val="2"/>
      <scheme val="minor"/>
    </font>
    <font>
      <sz val="6"/>
      <color theme="0" tint="-0.249977111117893"/>
      <name val="Arial"/>
      <family val="2"/>
    </font>
    <font>
      <sz val="8"/>
      <color theme="0" tint="-0.249977111117893"/>
      <name val="Calibri"/>
      <family val="2"/>
      <scheme val="minor"/>
    </font>
    <font>
      <sz val="6"/>
      <color theme="0" tint="-0.249977111117893"/>
      <name val="Calibri"/>
      <family val="2"/>
      <scheme val="minor"/>
    </font>
    <font>
      <sz val="5"/>
      <color theme="0" tint="-0.249977111117893"/>
      <name val="Calibri"/>
      <family val="2"/>
      <scheme val="minor"/>
    </font>
    <font>
      <b/>
      <sz val="7"/>
      <color theme="0" tint="-0.249977111117893"/>
      <name val="Calibri"/>
      <family val="2"/>
      <scheme val="minor"/>
    </font>
    <font>
      <sz val="4"/>
      <color theme="0" tint="-0.249977111117893"/>
      <name val="Arial"/>
      <family val="2"/>
    </font>
    <font>
      <i/>
      <sz val="7"/>
      <color theme="0" tint="-0.249977111117893"/>
      <name val="Calibri"/>
      <family val="2"/>
      <scheme val="minor"/>
    </font>
    <font>
      <sz val="3"/>
      <color theme="0" tint="-0.249977111117893"/>
      <name val="Arial"/>
      <family val="2"/>
    </font>
    <font>
      <i/>
      <sz val="6"/>
      <color theme="0" tint="-0.249977111117893"/>
      <name val="Calibri"/>
      <family val="2"/>
      <scheme val="minor"/>
    </font>
    <font>
      <vertAlign val="subscript"/>
      <sz val="7"/>
      <color theme="0" tint="-0.249977111117893"/>
      <name val="Calibri"/>
      <family val="2"/>
      <scheme val="minor"/>
    </font>
    <font>
      <sz val="5.5"/>
      <color theme="0" tint="-0.249977111117893"/>
      <name val="Calibri"/>
      <family val="2"/>
      <scheme val="minor"/>
    </font>
    <font>
      <vertAlign val="subscript"/>
      <sz val="8"/>
      <color theme="0" tint="-0.249977111117893"/>
      <name val="Calibri"/>
      <family val="2"/>
      <scheme val="minor"/>
    </font>
    <font>
      <sz val="6"/>
      <color theme="0" tint="-0.249977111117893"/>
      <name val="Arial Narrow"/>
      <family val="2"/>
    </font>
    <font>
      <b/>
      <sz val="8"/>
      <color theme="0" tint="-0.249977111117893"/>
      <name val="Calibri"/>
      <family val="2"/>
      <scheme val="minor"/>
    </font>
    <font>
      <b/>
      <sz val="9"/>
      <color theme="0" tint="-0.249977111117893"/>
      <name val="Calibri"/>
      <family val="2"/>
      <scheme val="minor"/>
    </font>
    <font>
      <sz val="7"/>
      <color theme="0" tint="-0.249977111117893"/>
      <name val="Arial"/>
      <family val="2"/>
    </font>
    <font>
      <sz val="11"/>
      <color theme="0" tint="-0.249977111117893"/>
      <name val="Calibri"/>
      <family val="2"/>
      <scheme val="minor"/>
    </font>
    <font>
      <sz val="8"/>
      <color theme="0" tint="-0.249977111117893"/>
      <name val="Arial"/>
      <family val="2"/>
    </font>
    <font>
      <b/>
      <i/>
      <sz val="8"/>
      <color theme="0" tint="-0.249977111117893"/>
      <name val="Calibri"/>
      <family val="2"/>
      <scheme val="minor"/>
    </font>
    <font>
      <sz val="10"/>
      <color theme="0" tint="-0.249977111117893"/>
      <name val="Calibri"/>
      <family val="2"/>
      <scheme val="minor"/>
    </font>
    <font>
      <sz val="9"/>
      <color theme="0" tint="-0.249977111117893"/>
      <name val="Arial"/>
      <family val="2"/>
    </font>
    <font>
      <b/>
      <sz val="7"/>
      <color theme="0" tint="-0.249977111117893"/>
      <name val="Arial"/>
      <family val="2"/>
    </font>
    <font>
      <b/>
      <sz val="10"/>
      <color theme="0" tint="-0.249977111117893"/>
      <name val="Arial"/>
      <family val="2"/>
    </font>
    <font>
      <b/>
      <sz val="9"/>
      <color theme="0" tint="-0.249977111117893"/>
      <name val="Arial"/>
      <family val="2"/>
    </font>
    <font>
      <b/>
      <sz val="9"/>
      <color theme="0" tint="-0.249977111117893"/>
      <name val="Symbol"/>
      <family val="1"/>
      <charset val="2"/>
    </font>
    <font>
      <b/>
      <vertAlign val="subscript"/>
      <sz val="9"/>
      <color theme="0" tint="-0.249977111117893"/>
      <name val="Arial"/>
      <family val="2"/>
    </font>
    <font>
      <i/>
      <sz val="7"/>
      <color theme="0" tint="-0.249977111117893"/>
      <name val="Arial"/>
      <family val="2"/>
    </font>
    <font>
      <b/>
      <vertAlign val="subscript"/>
      <sz val="8"/>
      <color theme="0" tint="-0.249977111117893"/>
      <name val="Calibri"/>
      <family val="2"/>
      <scheme val="minor"/>
    </font>
    <font>
      <sz val="9"/>
      <color theme="0" tint="-0.249977111117893"/>
      <name val="Calibri"/>
      <family val="2"/>
      <scheme val="minor"/>
    </font>
    <font>
      <sz val="9"/>
      <color theme="0" tint="-0.249977111117893"/>
      <name val="Symbol"/>
      <family val="1"/>
      <charset val="2"/>
    </font>
    <font>
      <vertAlign val="superscript"/>
      <sz val="8"/>
      <color theme="0" tint="-0.249977111117893"/>
      <name val="Calibri"/>
      <family val="2"/>
      <scheme val="minor"/>
    </font>
    <font>
      <b/>
      <i/>
      <sz val="7"/>
      <color theme="0" tint="-0.249977111117893"/>
      <name val="Arial"/>
      <family val="2"/>
    </font>
    <font>
      <i/>
      <sz val="6"/>
      <color theme="0" tint="-0.249977111117893"/>
      <name val="Arial"/>
      <family val="2"/>
    </font>
    <font>
      <i/>
      <sz val="8"/>
      <color theme="0" tint="-0.249977111117893"/>
      <name val="Arial"/>
      <family val="2"/>
    </font>
    <font>
      <vertAlign val="superscript"/>
      <sz val="7"/>
      <color theme="0" tint="-0.249977111117893"/>
      <name val="Calibri"/>
      <family val="2"/>
      <scheme val="minor"/>
    </font>
    <font>
      <i/>
      <sz val="7"/>
      <color rgb="FFFF9999"/>
      <name val="Calibri"/>
      <family val="2"/>
      <scheme val="minor"/>
    </font>
    <font>
      <sz val="7"/>
      <color rgb="FFFF9999"/>
      <name val="Calibri"/>
      <family val="2"/>
      <scheme val="minor"/>
    </font>
    <font>
      <sz val="11"/>
      <color rgb="FFFF9999"/>
      <name val="Calibri"/>
      <family val="2"/>
      <scheme val="minor"/>
    </font>
    <font>
      <i/>
      <sz val="8"/>
      <color theme="0" tint="-0.249977111117893"/>
      <name val="Calibri"/>
      <family val="2"/>
      <scheme val="minor"/>
    </font>
    <font>
      <strike/>
      <sz val="10"/>
      <color theme="0" tint="-0.249977111117893"/>
      <name val="Cambria"/>
      <family val="1"/>
    </font>
    <font>
      <b/>
      <vertAlign val="superscript"/>
      <sz val="9"/>
      <color theme="0" tint="-0.249977111117893"/>
      <name val="Arial"/>
      <family val="2"/>
    </font>
    <font>
      <sz val="8"/>
      <color theme="0" tint="-0.249977111117893"/>
      <name val="Calibri"/>
      <family val="2"/>
    </font>
    <font>
      <b/>
      <sz val="12"/>
      <color theme="0"/>
      <name val="Arial"/>
      <family val="2"/>
    </font>
    <font>
      <vertAlign val="superscript"/>
      <sz val="7"/>
      <color theme="0" tint="-0.34998626667073579"/>
      <name val="Arial"/>
      <family val="2"/>
    </font>
    <font>
      <vertAlign val="subscript"/>
      <sz val="8"/>
      <color theme="0" tint="-0.249977111117893"/>
      <name val="Symbol"/>
      <family val="1"/>
      <charset val="2"/>
    </font>
    <font>
      <sz val="8"/>
      <color rgb="FFFF0000"/>
      <name val="Calibri"/>
      <family val="2"/>
      <scheme val="minor"/>
    </font>
    <font>
      <sz val="8"/>
      <color theme="3" tint="0.39997558519241921"/>
      <name val="Arial"/>
      <family val="2"/>
    </font>
    <font>
      <sz val="7"/>
      <color theme="3" tint="0.39997558519241921"/>
      <name val="Arial"/>
      <family val="2"/>
    </font>
    <font>
      <strike/>
      <sz val="10"/>
      <color theme="3" tint="0.39997558519241921"/>
      <name val="Arial"/>
      <family val="2"/>
    </font>
    <font>
      <sz val="10"/>
      <color theme="3" tint="0.39997558519241921"/>
      <name val="Arial"/>
      <family val="2"/>
    </font>
    <font>
      <vertAlign val="subscript"/>
      <sz val="7"/>
      <color rgb="FF0000CC"/>
      <name val="Arial"/>
      <family val="2"/>
    </font>
    <font>
      <vertAlign val="subscript"/>
      <sz val="7"/>
      <color rgb="FF0000CC"/>
      <name val="Symbol"/>
      <family val="1"/>
      <charset val="2"/>
    </font>
    <font>
      <sz val="7"/>
      <color rgb="FF0000CC"/>
      <name val="Symbol"/>
      <family val="2"/>
      <charset val="2"/>
    </font>
    <font>
      <sz val="6"/>
      <color rgb="FF3333FF"/>
      <name val="Arial Narrow"/>
      <family val="2"/>
    </font>
    <font>
      <b/>
      <i/>
      <sz val="9"/>
      <color rgb="FF0000FF"/>
      <name val="Arial"/>
      <family val="2"/>
    </font>
    <font>
      <sz val="6"/>
      <color indexed="12"/>
      <name val="Arial Narrow"/>
      <family val="2"/>
    </font>
    <font>
      <i/>
      <sz val="10"/>
      <name val="Arial"/>
      <family val="2"/>
    </font>
    <font>
      <i/>
      <sz val="10"/>
      <name val="Symbol"/>
      <family val="1"/>
      <charset val="2"/>
    </font>
    <font>
      <b/>
      <sz val="8"/>
      <color rgb="FF3333FF"/>
      <name val="Calibri"/>
      <family val="2"/>
      <scheme val="minor"/>
    </font>
    <font>
      <sz val="9"/>
      <color theme="1"/>
      <name val="Arial"/>
      <family val="2"/>
    </font>
    <font>
      <vertAlign val="subscript"/>
      <sz val="9"/>
      <color theme="1"/>
      <name val="Arial"/>
      <family val="2"/>
    </font>
    <font>
      <b/>
      <sz val="10"/>
      <color rgb="FFFF0000"/>
      <name val="Calibri"/>
      <family val="2"/>
      <scheme val="minor"/>
    </font>
    <font>
      <vertAlign val="superscript"/>
      <sz val="7"/>
      <color rgb="FF000000"/>
      <name val="Calibri"/>
      <family val="2"/>
      <scheme val="minor"/>
    </font>
    <font>
      <sz val="7"/>
      <color rgb="FF000000"/>
      <name val="Arial"/>
      <family val="2"/>
      <charset val="2"/>
    </font>
    <font>
      <b/>
      <i/>
      <sz val="9"/>
      <color rgb="FF0000CC"/>
      <name val="Arial"/>
      <family val="2"/>
    </font>
    <font>
      <b/>
      <sz val="10"/>
      <name val="Arial Narrow"/>
      <family val="2"/>
    </font>
    <font>
      <b/>
      <sz val="7"/>
      <color rgb="FF0000CC"/>
      <name val="Arial"/>
      <family val="2"/>
      <charset val="2"/>
    </font>
    <font>
      <b/>
      <sz val="7"/>
      <color rgb="FF0000CC"/>
      <name val="Symbol"/>
      <family val="1"/>
      <charset val="2"/>
    </font>
    <font>
      <b/>
      <vertAlign val="subscript"/>
      <sz val="8"/>
      <color rgb="FF000000"/>
      <name val="Arial Black"/>
      <family val="2"/>
    </font>
    <font>
      <b/>
      <i/>
      <sz val="6"/>
      <color rgb="FFFF0000"/>
      <name val="Arial"/>
      <family val="2"/>
    </font>
    <font>
      <i/>
      <sz val="7"/>
      <color indexed="8"/>
      <name val="Arial"/>
      <family val="1"/>
      <charset val="2"/>
    </font>
    <font>
      <i/>
      <sz val="7"/>
      <color rgb="FF000000"/>
      <name val="Calibri"/>
      <family val="2"/>
      <scheme val="minor"/>
    </font>
    <font>
      <i/>
      <sz val="7"/>
      <color rgb="FF000000"/>
      <name val="Symbol"/>
      <family val="1"/>
      <charset val="2"/>
    </font>
    <font>
      <u/>
      <sz val="7"/>
      <color rgb="FF000000"/>
      <name val="Calibri"/>
      <family val="2"/>
      <scheme val="minor"/>
    </font>
    <font>
      <b/>
      <sz val="8"/>
      <color rgb="FF000000"/>
      <name val="Calibri"/>
      <family val="2"/>
      <scheme val="minor"/>
    </font>
    <font>
      <b/>
      <sz val="8"/>
      <color indexed="8"/>
      <name val="Arial Narrow"/>
      <family val="2"/>
    </font>
    <font>
      <b/>
      <sz val="8"/>
      <color rgb="FF000000"/>
      <name val="Arial Narrow"/>
      <family val="2"/>
    </font>
    <font>
      <b/>
      <sz val="7"/>
      <color indexed="12"/>
      <name val="Arial"/>
      <family val="2"/>
    </font>
    <font>
      <sz val="10"/>
      <color rgb="FF0000CC"/>
      <name val="Arial"/>
      <family val="2"/>
    </font>
    <font>
      <b/>
      <sz val="9"/>
      <color rgb="FFFF0000"/>
      <name val="Calibri"/>
      <family val="2"/>
      <scheme val="minor"/>
    </font>
    <font>
      <b/>
      <i/>
      <sz val="7"/>
      <color rgb="FF0000CC"/>
      <name val="Arial Narrow"/>
      <family val="2"/>
    </font>
    <font>
      <i/>
      <sz val="6"/>
      <color rgb="FF3333FF"/>
      <name val="Calibri"/>
      <family val="2"/>
      <scheme val="minor"/>
    </font>
    <font>
      <sz val="7"/>
      <color rgb="FF0000FF"/>
      <name val="Arial"/>
      <family val="2"/>
    </font>
    <font>
      <i/>
      <vertAlign val="superscript"/>
      <sz val="6"/>
      <name val="Arial"/>
      <family val="2"/>
    </font>
    <font>
      <sz val="9"/>
      <color rgb="FF000000"/>
      <name val="Symbol"/>
      <family val="1"/>
      <charset val="2"/>
    </font>
    <font>
      <vertAlign val="subscript"/>
      <sz val="9"/>
      <color rgb="FF000000"/>
      <name val="Arial"/>
      <family val="2"/>
    </font>
    <font>
      <b/>
      <sz val="6"/>
      <color indexed="8"/>
      <name val="Arial"/>
      <family val="2"/>
    </font>
    <font>
      <sz val="8"/>
      <color rgb="FF000000"/>
      <name val="Arial"/>
      <family val="1"/>
      <charset val="2"/>
    </font>
    <font>
      <vertAlign val="subscript"/>
      <sz val="8"/>
      <color rgb="FF000000"/>
      <name val="Arial"/>
      <family val="2"/>
    </font>
    <font>
      <vertAlign val="subscript"/>
      <sz val="8"/>
      <color theme="0" tint="-0.249977111117893"/>
      <name val="Arial"/>
      <family val="2"/>
    </font>
    <font>
      <sz val="7"/>
      <color theme="0" tint="-0.249977111117893"/>
      <name val="Arial Narrow"/>
      <family val="2"/>
    </font>
    <font>
      <vertAlign val="superscript"/>
      <sz val="7"/>
      <color theme="0" tint="-0.249977111117893"/>
      <name val="Arial Narrow"/>
      <family val="2"/>
    </font>
    <font>
      <i/>
      <sz val="7"/>
      <color indexed="8"/>
      <name val="Arial Narrow"/>
      <family val="2"/>
    </font>
    <font>
      <i/>
      <sz val="6"/>
      <color rgb="FF000000"/>
      <name val="Arial"/>
      <family val="2"/>
    </font>
    <font>
      <sz val="6.3"/>
      <color rgb="FF0000CC"/>
      <name val="Arial"/>
      <family val="2"/>
    </font>
    <font>
      <i/>
      <sz val="8"/>
      <name val="Calibri"/>
      <family val="2"/>
      <scheme val="minor"/>
    </font>
    <font>
      <sz val="6"/>
      <color rgb="FF0000CC"/>
      <name val="Calibri"/>
      <family val="2"/>
    </font>
    <font>
      <sz val="6"/>
      <color rgb="FF3333FF"/>
      <name val="Calibri"/>
      <family val="2"/>
    </font>
    <font>
      <i/>
      <sz val="7"/>
      <color rgb="FF0000FF"/>
      <name val="Calibri"/>
      <family val="2"/>
      <scheme val="minor"/>
    </font>
    <font>
      <sz val="8"/>
      <color theme="0" tint="-0.34998626667073579"/>
      <name val="Arial"/>
      <family val="2"/>
    </font>
    <font>
      <vertAlign val="superscript"/>
      <sz val="8"/>
      <color theme="0" tint="-0.34998626667073579"/>
      <name val="Arial"/>
      <family val="2"/>
    </font>
    <font>
      <b/>
      <sz val="8"/>
      <color theme="0" tint="-0.34998626667073579"/>
      <name val="Arial"/>
      <family val="2"/>
    </font>
    <font>
      <sz val="8"/>
      <color theme="1"/>
      <name val="Arial Narrow"/>
      <family val="2"/>
    </font>
    <font>
      <sz val="7"/>
      <color rgb="FF0000CC"/>
      <name val="Cambria"/>
      <family val="1"/>
    </font>
    <font>
      <i/>
      <sz val="6"/>
      <color rgb="FF0000FF"/>
      <name val="Calibri"/>
      <family val="2"/>
      <scheme val="minor"/>
    </font>
    <font>
      <sz val="6"/>
      <color rgb="FF0000FF"/>
      <name val="Calibri"/>
      <family val="2"/>
      <scheme val="minor"/>
    </font>
    <font>
      <sz val="6"/>
      <color rgb="FF3333FF"/>
      <name val="Calibri"/>
      <family val="2"/>
      <scheme val="minor"/>
    </font>
    <font>
      <sz val="10"/>
      <name val="Consolas"/>
      <family val="3"/>
    </font>
    <font>
      <sz val="9"/>
      <name val="Cambria"/>
      <family val="1"/>
      <charset val="2"/>
    </font>
    <font>
      <sz val="9"/>
      <name val="Symbol"/>
      <family val="1"/>
      <charset val="2"/>
    </font>
    <font>
      <sz val="9"/>
      <name val="Cambria"/>
      <family val="1"/>
    </font>
    <font>
      <sz val="7"/>
      <color theme="0" tint="-0.34998626667073579"/>
      <name val="Calibri"/>
      <family val="2"/>
      <scheme val="minor"/>
    </font>
    <font>
      <sz val="6"/>
      <color theme="0" tint="-0.34998626667073579"/>
      <name val="Arial"/>
      <family val="2"/>
    </font>
    <font>
      <vertAlign val="subscript"/>
      <sz val="6"/>
      <color theme="0" tint="-0.34998626667073579"/>
      <name val="Arial"/>
      <family val="2"/>
    </font>
    <font>
      <i/>
      <sz val="8"/>
      <color rgb="FF0000FF"/>
      <name val="Arial Narrow"/>
      <family val="2"/>
    </font>
    <font>
      <b/>
      <sz val="8"/>
      <color rgb="FFFF0000"/>
      <name val="Consolas"/>
      <family val="3"/>
    </font>
    <font>
      <sz val="6"/>
      <color rgb="FFFF0000"/>
      <name val="Calibri"/>
      <family val="2"/>
      <scheme val="minor"/>
    </font>
    <font>
      <sz val="7"/>
      <color rgb="FF0000FF"/>
      <name val="Arial Narrow"/>
      <family val="2"/>
    </font>
    <font>
      <b/>
      <i/>
      <sz val="7"/>
      <color rgb="FF0000CC"/>
      <name val="Arial"/>
      <family val="2"/>
    </font>
    <font>
      <b/>
      <i/>
      <sz val="10"/>
      <color rgb="FF0000CC"/>
      <name val="Calibri"/>
      <family val="2"/>
      <scheme val="minor"/>
    </font>
    <font>
      <sz val="9"/>
      <color indexed="8"/>
      <name val="Calibri"/>
      <family val="2"/>
      <scheme val="minor"/>
    </font>
    <font>
      <sz val="10"/>
      <color indexed="8"/>
      <name val="Calibri"/>
      <family val="2"/>
      <scheme val="minor"/>
    </font>
    <font>
      <sz val="7"/>
      <color rgb="FF0000FF"/>
      <name val="Calibri"/>
      <family val="2"/>
      <scheme val="minor"/>
    </font>
    <font>
      <i/>
      <vertAlign val="superscript"/>
      <sz val="7"/>
      <color rgb="FF0000FF"/>
      <name val="Calibri"/>
      <family val="2"/>
      <scheme val="minor"/>
    </font>
    <font>
      <vertAlign val="superscript"/>
      <sz val="7"/>
      <color rgb="FF0000CC"/>
      <name val="Arial"/>
      <family val="2"/>
    </font>
    <font>
      <b/>
      <sz val="9"/>
      <color indexed="12"/>
      <name val="Consolas"/>
      <family val="3"/>
    </font>
    <font>
      <b/>
      <sz val="8.5"/>
      <name val="Arial"/>
      <family val="2"/>
    </font>
    <font>
      <b/>
      <sz val="9"/>
      <color rgb="FFFF0000"/>
      <name val="Calibri"/>
      <family val="2"/>
    </font>
    <font>
      <sz val="7"/>
      <name val="Arial"/>
      <family val="1"/>
      <charset val="2"/>
    </font>
    <font>
      <sz val="6"/>
      <color rgb="FF0000FF"/>
      <name val="Arial"/>
      <family val="2"/>
    </font>
    <font>
      <b/>
      <i/>
      <sz val="7"/>
      <color rgb="FF0000FF"/>
      <name val="Calibri"/>
      <family val="2"/>
      <scheme val="minor"/>
    </font>
    <font>
      <sz val="7.5"/>
      <color rgb="FF0000FF"/>
      <name val="Arial Narrow"/>
      <family val="2"/>
    </font>
    <font>
      <i/>
      <sz val="7"/>
      <color rgb="FF0000FF"/>
      <name val="Arial"/>
      <family val="2"/>
    </font>
    <font>
      <vertAlign val="superscript"/>
      <sz val="7"/>
      <color rgb="FF0000FF"/>
      <name val="Calibri"/>
      <family val="2"/>
      <scheme val="minor"/>
    </font>
    <font>
      <sz val="11"/>
      <color rgb="FF0000FF"/>
      <name val="Arial"/>
      <family val="2"/>
    </font>
    <font>
      <b/>
      <sz val="7"/>
      <color rgb="FF0000FF"/>
      <name val="Arial"/>
      <family val="2"/>
    </font>
    <font>
      <vertAlign val="superscript"/>
      <sz val="8"/>
      <color theme="0" tint="-0.249977111117893"/>
      <name val="Arial"/>
      <family val="2"/>
    </font>
    <font>
      <sz val="8"/>
      <color rgb="FF3333FF"/>
      <name val="Calibri"/>
      <family val="2"/>
      <scheme val="minor"/>
    </font>
    <font>
      <sz val="6.5"/>
      <color rgb="FF000000"/>
      <name val="Arial Narrow"/>
      <family val="2"/>
    </font>
    <font>
      <sz val="6.5"/>
      <color rgb="FF000000"/>
      <name val="Calibri"/>
      <family val="2"/>
      <scheme val="minor"/>
    </font>
    <font>
      <u/>
      <sz val="7"/>
      <color rgb="FF0000FF"/>
      <name val="Calibri"/>
      <family val="2"/>
      <scheme val="minor"/>
    </font>
    <font>
      <i/>
      <u/>
      <sz val="7"/>
      <color rgb="FF0000FF"/>
      <name val="Arial"/>
      <family val="2"/>
    </font>
    <font>
      <i/>
      <u/>
      <sz val="7"/>
      <color rgb="FF0000FF"/>
      <name val="Calibri"/>
      <family val="2"/>
      <scheme val="minor"/>
    </font>
    <font>
      <b/>
      <sz val="6"/>
      <color rgb="FFFF0000"/>
      <name val="Arial"/>
      <family val="2"/>
    </font>
    <font>
      <b/>
      <i/>
      <sz val="8"/>
      <color rgb="FF0000FF"/>
      <name val="Calibri"/>
      <family val="2"/>
      <scheme val="minor"/>
    </font>
    <font>
      <b/>
      <i/>
      <sz val="9"/>
      <color rgb="FFFF0000"/>
      <name val="Calibri"/>
      <family val="2"/>
      <scheme val="minor"/>
    </font>
    <font>
      <b/>
      <sz val="6"/>
      <name val="Arial Narrow"/>
      <family val="2"/>
    </font>
    <font>
      <b/>
      <sz val="6"/>
      <color rgb="FF000000"/>
      <name val="Arial Narrow"/>
      <family val="2"/>
    </font>
    <font>
      <sz val="8"/>
      <color rgb="FFFF0000"/>
      <name val="Arial"/>
      <family val="2"/>
    </font>
    <font>
      <b/>
      <i/>
      <sz val="7"/>
      <color rgb="FFFF0000"/>
      <name val="Calibri"/>
      <family val="2"/>
      <scheme val="minor"/>
    </font>
    <font>
      <vertAlign val="subscript"/>
      <sz val="8"/>
      <color theme="0" tint="-0.34998626667073579"/>
      <name val="Arial"/>
      <family val="2"/>
    </font>
    <font>
      <sz val="11"/>
      <color theme="0" tint="-0.34998626667073579"/>
      <name val="Arial"/>
      <family val="2"/>
    </font>
    <font>
      <sz val="9"/>
      <color theme="0" tint="-0.34998626667073579"/>
      <name val="Arial"/>
      <family val="2"/>
    </font>
    <font>
      <i/>
      <sz val="9"/>
      <color theme="0" tint="-0.34998626667073579"/>
      <name val="Arial"/>
      <family val="2"/>
    </font>
    <font>
      <i/>
      <sz val="8"/>
      <color rgb="FF0000FF"/>
      <name val="Calibri"/>
      <family val="2"/>
      <scheme val="minor"/>
    </font>
    <font>
      <i/>
      <sz val="8"/>
      <color rgb="FF0000FF"/>
      <name val="Arial"/>
      <family val="2"/>
    </font>
    <font>
      <b/>
      <sz val="8"/>
      <color theme="0"/>
      <name val="Calibri"/>
      <family val="2"/>
      <scheme val="minor"/>
    </font>
    <font>
      <sz val="8"/>
      <color rgb="FF00B050"/>
      <name val="Calibri"/>
      <family val="2"/>
      <scheme val="minor"/>
    </font>
    <font>
      <b/>
      <sz val="8"/>
      <color rgb="FF00B0F0"/>
      <name val="Calibri"/>
      <family val="2"/>
      <scheme val="minor"/>
    </font>
    <font>
      <b/>
      <sz val="8"/>
      <color rgb="FF0000FF"/>
      <name val="Calibri"/>
      <family val="2"/>
      <scheme val="minor"/>
    </font>
    <font>
      <sz val="8"/>
      <color theme="4" tint="0.59999389629810485"/>
      <name val="Arial"/>
      <family val="2"/>
    </font>
    <font>
      <sz val="7"/>
      <color theme="4" tint="0.59999389629810485"/>
      <name val="Arial"/>
      <family val="2"/>
    </font>
    <font>
      <i/>
      <sz val="7"/>
      <color theme="4" tint="0.59999389629810485"/>
      <name val="Arial"/>
      <family val="2"/>
    </font>
    <font>
      <sz val="6"/>
      <color theme="1"/>
      <name val="Calibri"/>
      <family val="2"/>
      <scheme val="minor"/>
    </font>
    <font>
      <b/>
      <sz val="7"/>
      <color rgb="FF3333FF"/>
      <name val="Arial Narrow"/>
      <family val="2"/>
    </font>
    <font>
      <b/>
      <sz val="7"/>
      <color rgb="FF0000FF"/>
      <name val="Arial Narrow"/>
      <family val="2"/>
    </font>
    <font>
      <b/>
      <i/>
      <sz val="11"/>
      <name val="Arial"/>
      <family val="2"/>
    </font>
    <font>
      <b/>
      <sz val="6"/>
      <color rgb="FF0000CC"/>
      <name val="Arial"/>
      <family val="2"/>
    </font>
    <font>
      <sz val="10"/>
      <color rgb="FF0000FF"/>
      <name val="Arial"/>
      <family val="2"/>
    </font>
    <font>
      <sz val="9"/>
      <color theme="0" tint="-0.249977111117893"/>
      <name val="Cambria"/>
      <family val="1"/>
    </font>
    <font>
      <sz val="11"/>
      <color indexed="8"/>
      <name val="Cambria"/>
      <family val="1"/>
    </font>
    <font>
      <sz val="6"/>
      <color theme="0" tint="-0.249977111117893"/>
      <name val="Cambria"/>
      <family val="1"/>
    </font>
    <font>
      <sz val="9"/>
      <color indexed="8"/>
      <name val="Cambria"/>
      <family val="1"/>
    </font>
    <font>
      <sz val="11"/>
      <color rgb="FF0000FF"/>
      <name val="Arial Narrow"/>
      <family val="2"/>
    </font>
    <font>
      <i/>
      <sz val="7"/>
      <color rgb="FF0000FF"/>
      <name val="Arial Narrow"/>
      <family val="2"/>
    </font>
    <font>
      <b/>
      <sz val="6"/>
      <color rgb="FFFF0000"/>
      <name val="Calibri"/>
      <family val="2"/>
      <scheme val="minor"/>
    </font>
    <font>
      <sz val="11"/>
      <name val="Arial Narrow"/>
      <family val="2"/>
    </font>
    <font>
      <b/>
      <i/>
      <sz val="11"/>
      <color rgb="FF0000FF"/>
      <name val="Arial"/>
      <family val="2"/>
    </font>
    <font>
      <b/>
      <i/>
      <u/>
      <sz val="11"/>
      <color rgb="FF0000FF"/>
      <name val="Arial"/>
      <family val="2"/>
    </font>
    <font>
      <b/>
      <i/>
      <sz val="14"/>
      <color rgb="FF0000FF"/>
      <name val="Arial"/>
      <family val="2"/>
    </font>
    <font>
      <b/>
      <i/>
      <u/>
      <sz val="14"/>
      <color rgb="FF0000FF"/>
      <name val="Arial"/>
      <family val="2"/>
    </font>
    <font>
      <i/>
      <sz val="11"/>
      <color rgb="FF0000FF"/>
      <name val="Arial"/>
      <family val="2"/>
    </font>
    <font>
      <i/>
      <sz val="6"/>
      <color rgb="FFFF0000"/>
      <name val="Calibri"/>
      <family val="2"/>
      <scheme val="minor"/>
    </font>
    <font>
      <sz val="6"/>
      <color theme="0" tint="-0.249977111117893"/>
      <name val="Consolas"/>
      <family val="3"/>
    </font>
    <font>
      <u/>
      <sz val="7"/>
      <color rgb="FF0000FF"/>
      <name val="Arial"/>
      <family val="2"/>
    </font>
    <font>
      <vertAlign val="subscript"/>
      <sz val="9"/>
      <color theme="0" tint="-0.249977111117893"/>
      <name val="Calibri"/>
      <family val="2"/>
      <scheme val="minor"/>
    </font>
  </fonts>
  <fills count="3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E7FF"/>
        <bgColor indexed="64"/>
      </patternFill>
    </fill>
    <fill>
      <patternFill patternType="solid">
        <fgColor theme="9" tint="0.79998168889431442"/>
        <bgColor indexed="64"/>
      </patternFill>
    </fill>
    <fill>
      <patternFill patternType="solid">
        <fgColor rgb="FFFFFFE1"/>
        <bgColor indexed="64"/>
      </patternFill>
    </fill>
    <fill>
      <patternFill patternType="solid">
        <fgColor rgb="FFFFF5EB"/>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DE9D9"/>
        <bgColor indexed="64"/>
      </patternFill>
    </fill>
    <fill>
      <patternFill patternType="solid">
        <fgColor rgb="FFFFFFF3"/>
        <bgColor indexed="64"/>
      </patternFill>
    </fill>
    <fill>
      <patternFill patternType="solid">
        <fgColor theme="3" tint="0.59999389629810485"/>
        <bgColor indexed="64"/>
      </patternFill>
    </fill>
    <fill>
      <patternFill patternType="solid">
        <fgColor rgb="FFFFFFC1"/>
        <bgColor indexed="64"/>
      </patternFill>
    </fill>
    <fill>
      <patternFill patternType="solid">
        <fgColor rgb="FFFFFFEF"/>
        <bgColor indexed="64"/>
      </patternFill>
    </fill>
    <fill>
      <patternFill patternType="solid">
        <fgColor rgb="FFF2F2F2"/>
        <bgColor indexed="64"/>
      </patternFill>
    </fill>
    <fill>
      <patternFill patternType="solid">
        <fgColor rgb="FFFFFFFF"/>
        <bgColor indexed="64"/>
      </patternFill>
    </fill>
    <fill>
      <patternFill patternType="solid">
        <fgColor rgb="FFDFF4FD"/>
        <bgColor indexed="64"/>
      </patternFill>
    </fill>
    <fill>
      <patternFill patternType="solid">
        <fgColor rgb="FFECF8FE"/>
        <bgColor indexed="64"/>
      </patternFill>
    </fill>
    <fill>
      <patternFill patternType="solid">
        <fgColor rgb="FFF2F6EA"/>
        <bgColor indexed="64"/>
      </patternFill>
    </fill>
    <fill>
      <patternFill patternType="solid">
        <fgColor theme="4" tint="0.79998168889431442"/>
        <bgColor indexed="64"/>
      </patternFill>
    </fill>
    <fill>
      <patternFill patternType="solid">
        <fgColor rgb="FFEEECE1"/>
        <bgColor indexed="64"/>
      </patternFill>
    </fill>
    <fill>
      <patternFill patternType="solid">
        <fgColor theme="0" tint="-0.14999847407452621"/>
        <bgColor indexed="64"/>
      </patternFill>
    </fill>
    <fill>
      <patternFill patternType="solid">
        <fgColor rgb="FFEDF7FD"/>
        <bgColor indexed="64"/>
      </patternFill>
    </fill>
    <fill>
      <patternFill patternType="solid">
        <fgColor rgb="FFFEFFEF"/>
        <bgColor indexed="64"/>
      </patternFill>
    </fill>
    <fill>
      <patternFill patternType="solid">
        <fgColor rgb="FF00B050"/>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4E7FF"/>
        <bgColor indexed="64"/>
      </patternFill>
    </fill>
    <fill>
      <patternFill patternType="solid">
        <fgColor rgb="FFFAF3FF"/>
        <bgColor indexed="64"/>
      </patternFill>
    </fill>
    <fill>
      <patternFill patternType="solid">
        <fgColor rgb="FFFDE7D9"/>
        <bgColor indexed="64"/>
      </patternFill>
    </fill>
    <fill>
      <patternFill patternType="solid">
        <fgColor rgb="FFFEF2E8"/>
        <bgColor indexed="64"/>
      </patternFill>
    </fill>
    <fill>
      <patternFill patternType="solid">
        <fgColor rgb="FFFFF7FF"/>
        <bgColor indexed="64"/>
      </patternFill>
    </fill>
    <fill>
      <patternFill patternType="solid">
        <fgColor rgb="FFD8E9FE"/>
        <bgColor indexed="64"/>
      </patternFill>
    </fill>
  </fills>
  <borders count="21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hair">
        <color indexed="64"/>
      </left>
      <right/>
      <top style="hair">
        <color indexed="64"/>
      </top>
      <bottom/>
      <diagonal/>
    </border>
    <border>
      <left style="medium">
        <color indexed="64"/>
      </left>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style="thin">
        <color indexed="64"/>
      </left>
      <right style="hair">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hair">
        <color indexed="64"/>
      </left>
      <right style="medium">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top style="hair">
        <color indexed="64"/>
      </top>
      <bottom/>
      <diagonal/>
    </border>
    <border diagonalDown="1">
      <left style="medium">
        <color indexed="64"/>
      </left>
      <right/>
      <top/>
      <bottom/>
      <diagonal style="hair">
        <color indexed="64"/>
      </diagonal>
    </border>
    <border diagonalDown="1">
      <left/>
      <right/>
      <top/>
      <bottom/>
      <diagonal style="hair">
        <color indexed="64"/>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top style="hair">
        <color indexed="64"/>
      </top>
      <bottom style="double">
        <color indexed="64"/>
      </bottom>
      <diagonal/>
    </border>
    <border>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double">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right style="thin">
        <color indexed="64"/>
      </right>
      <top/>
      <bottom style="double">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bottom style="double">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style="hair">
        <color indexed="64"/>
      </right>
      <top style="thin">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medium">
        <color indexed="64"/>
      </top>
      <bottom style="hair">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medium">
        <color indexed="64"/>
      </top>
      <bottom style="hair">
        <color indexed="64"/>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style="medium">
        <color indexed="64"/>
      </left>
      <right/>
      <top style="double">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style="medium">
        <color indexed="64"/>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medium">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bottom style="medium">
        <color indexed="64"/>
      </bottom>
      <diagonal/>
    </border>
    <border diagonalUp="1">
      <left style="medium">
        <color indexed="64"/>
      </left>
      <right style="thin">
        <color indexed="64"/>
      </right>
      <top/>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top style="medium">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right style="thin">
        <color indexed="64"/>
      </right>
      <top style="hair">
        <color indexed="64"/>
      </top>
      <bottom/>
      <diagonal style="hair">
        <color indexed="64"/>
      </diagonal>
    </border>
    <border>
      <left style="thin">
        <color indexed="64"/>
      </left>
      <right style="thin">
        <color indexed="64"/>
      </right>
      <top style="hair">
        <color indexed="64"/>
      </top>
      <bottom style="double">
        <color indexed="64"/>
      </bottom>
      <diagonal/>
    </border>
    <border diagonalDown="1">
      <left/>
      <right style="thin">
        <color indexed="64"/>
      </right>
      <top/>
      <bottom/>
      <diagonal style="hair">
        <color indexed="64"/>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diagonalDown="1">
      <left/>
      <right style="thin">
        <color indexed="64"/>
      </right>
      <top/>
      <bottom/>
      <diagonal style="thin">
        <color indexed="64"/>
      </diagonal>
    </border>
    <border diagonalUp="1">
      <left/>
      <right style="thin">
        <color indexed="64"/>
      </right>
      <top/>
      <bottom/>
      <diagonal style="thin">
        <color indexed="64"/>
      </diagonal>
    </border>
    <border>
      <left/>
      <right style="hair">
        <color indexed="64"/>
      </right>
      <top style="thin">
        <color indexed="64"/>
      </top>
      <bottom style="medium">
        <color indexed="64"/>
      </bottom>
      <diagonal/>
    </border>
    <border>
      <left/>
      <right/>
      <top style="medium">
        <color indexed="64"/>
      </top>
      <bottom/>
      <diagonal/>
    </border>
    <border>
      <left/>
      <right style="thin">
        <color rgb="FF0000FF"/>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rgb="FFFF0000"/>
      </top>
      <bottom/>
      <diagonal/>
    </border>
  </borders>
  <cellStyleXfs count="4">
    <xf numFmtId="0" fontId="0" fillId="0" borderId="0"/>
    <xf numFmtId="0" fontId="7" fillId="0" borderId="0" applyNumberFormat="0" applyFill="0" applyBorder="0" applyAlignment="0" applyProtection="0">
      <alignment vertical="top"/>
      <protection locked="0"/>
    </xf>
    <xf numFmtId="0" fontId="1" fillId="0" borderId="0"/>
    <xf numFmtId="0" fontId="1" fillId="0" borderId="0"/>
  </cellStyleXfs>
  <cellXfs count="3411">
    <xf numFmtId="0" fontId="0" fillId="0" borderId="0" xfId="0"/>
    <xf numFmtId="0" fontId="0" fillId="0" borderId="0" xfId="0" applyAlignment="1">
      <alignment vertical="center"/>
    </xf>
    <xf numFmtId="0" fontId="3" fillId="0" borderId="49" xfId="0" applyFont="1" applyBorder="1" applyAlignment="1">
      <alignment vertical="center" wrapText="1"/>
    </xf>
    <xf numFmtId="0" fontId="1" fillId="0" borderId="0" xfId="0" applyFont="1"/>
    <xf numFmtId="0" fontId="11" fillId="0" borderId="0" xfId="0" applyFont="1"/>
    <xf numFmtId="0" fontId="3" fillId="0" borderId="69" xfId="0" applyFont="1" applyBorder="1" applyAlignment="1">
      <alignment vertical="center" wrapText="1"/>
    </xf>
    <xf numFmtId="0" fontId="3" fillId="0" borderId="9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5" xfId="0" applyFont="1" applyBorder="1" applyAlignment="1">
      <alignment horizontal="right" vertical="center" wrapText="1"/>
    </xf>
    <xf numFmtId="0" fontId="3" fillId="0" borderId="180" xfId="0" applyFont="1" applyBorder="1" applyAlignment="1">
      <alignment vertical="center" wrapText="1"/>
    </xf>
    <xf numFmtId="0" fontId="0" fillId="0" borderId="181" xfId="0" applyBorder="1" applyAlignment="1">
      <alignment vertical="center"/>
    </xf>
    <xf numFmtId="0" fontId="3" fillId="0" borderId="136" xfId="0" applyFont="1" applyBorder="1" applyAlignment="1">
      <alignment vertical="center" wrapText="1"/>
    </xf>
    <xf numFmtId="0" fontId="3" fillId="0" borderId="64" xfId="0" applyFont="1" applyBorder="1" applyAlignment="1">
      <alignment vertical="center" wrapText="1"/>
    </xf>
    <xf numFmtId="0" fontId="3" fillId="0" borderId="28" xfId="0" applyFont="1" applyBorder="1" applyAlignment="1">
      <alignment horizontal="center" vertical="center" wrapText="1"/>
    </xf>
    <xf numFmtId="0" fontId="3" fillId="0" borderId="0" xfId="0" applyFont="1" applyAlignment="1">
      <alignment horizontal="right" vertical="center" wrapText="1"/>
    </xf>
    <xf numFmtId="0" fontId="3" fillId="0" borderId="165" xfId="0" applyFont="1" applyBorder="1" applyAlignment="1">
      <alignment vertical="center" wrapText="1"/>
    </xf>
    <xf numFmtId="0" fontId="3" fillId="0" borderId="182" xfId="0" applyFont="1" applyBorder="1" applyAlignment="1">
      <alignment horizontal="right" vertical="center" wrapText="1"/>
    </xf>
    <xf numFmtId="0" fontId="0" fillId="0" borderId="70" xfId="0" applyBorder="1" applyAlignment="1">
      <alignment vertical="center" wrapText="1"/>
    </xf>
    <xf numFmtId="0" fontId="3" fillId="0" borderId="24" xfId="0" applyFont="1" applyBorder="1" applyAlignment="1">
      <alignment horizontal="right" vertical="center" wrapText="1"/>
    </xf>
    <xf numFmtId="0" fontId="3" fillId="0" borderId="178" xfId="0" applyFont="1" applyBorder="1" applyAlignment="1">
      <alignment vertical="center" wrapText="1"/>
    </xf>
    <xf numFmtId="0" fontId="3" fillId="0" borderId="177" xfId="0" applyFont="1" applyBorder="1" applyAlignment="1">
      <alignment horizontal="right" vertical="center" wrapText="1"/>
    </xf>
    <xf numFmtId="0" fontId="3" fillId="0" borderId="35" xfId="0" applyFont="1" applyBorder="1" applyAlignment="1">
      <alignment vertical="center" wrapText="1"/>
    </xf>
    <xf numFmtId="0" fontId="0" fillId="0" borderId="64" xfId="0" applyBorder="1" applyAlignment="1">
      <alignment vertical="center" wrapText="1"/>
    </xf>
    <xf numFmtId="0" fontId="3" fillId="0" borderId="177" xfId="0" applyFont="1" applyBorder="1" applyAlignment="1">
      <alignment vertical="center" wrapText="1"/>
    </xf>
    <xf numFmtId="0" fontId="0" fillId="0" borderId="182" xfId="0" applyBorder="1" applyAlignment="1">
      <alignment vertical="center"/>
    </xf>
    <xf numFmtId="0" fontId="3" fillId="0" borderId="28" xfId="0" applyFont="1" applyBorder="1" applyAlignment="1">
      <alignment horizontal="center" vertical="center"/>
    </xf>
    <xf numFmtId="0" fontId="0" fillId="0" borderId="65" xfId="0" applyBorder="1" applyAlignment="1">
      <alignment vertical="center"/>
    </xf>
    <xf numFmtId="0" fontId="3" fillId="0" borderId="56" xfId="0" applyFont="1" applyBorder="1" applyAlignment="1">
      <alignment vertical="center"/>
    </xf>
    <xf numFmtId="0" fontId="3" fillId="0" borderId="166" xfId="0" applyFont="1" applyBorder="1" applyAlignment="1">
      <alignment vertical="center"/>
    </xf>
    <xf numFmtId="0" fontId="3" fillId="0" borderId="68" xfId="0" applyFont="1" applyBorder="1" applyAlignment="1">
      <alignment vertical="center"/>
    </xf>
    <xf numFmtId="0" fontId="3" fillId="0" borderId="178" xfId="0" applyFont="1" applyBorder="1" applyAlignment="1">
      <alignment horizontal="center" vertical="center" wrapText="1"/>
    </xf>
    <xf numFmtId="16" fontId="1" fillId="0" borderId="112" xfId="0" applyNumberFormat="1" applyFont="1" applyBorder="1" applyAlignment="1">
      <alignment horizontal="center" vertical="center" wrapText="1"/>
    </xf>
    <xf numFmtId="0" fontId="1" fillId="0" borderId="22" xfId="0" applyFont="1" applyBorder="1" applyAlignment="1">
      <alignment horizontal="left" vertical="center"/>
    </xf>
    <xf numFmtId="16" fontId="1" fillId="0" borderId="85" xfId="0" applyNumberFormat="1" applyFont="1" applyBorder="1" applyAlignment="1">
      <alignment horizontal="center" vertical="center" wrapText="1"/>
    </xf>
    <xf numFmtId="0" fontId="1" fillId="0" borderId="41" xfId="0" applyFont="1" applyBorder="1" applyAlignment="1">
      <alignment horizontal="left" vertical="center"/>
    </xf>
    <xf numFmtId="0" fontId="1" fillId="0" borderId="17" xfId="0" applyFont="1" applyBorder="1" applyAlignment="1">
      <alignment horizontal="left" vertical="center"/>
    </xf>
    <xf numFmtId="0" fontId="1" fillId="0" borderId="37" xfId="0" applyFont="1" applyBorder="1" applyAlignment="1">
      <alignment horizontal="left" vertical="center"/>
    </xf>
    <xf numFmtId="0" fontId="0" fillId="0" borderId="24" xfId="0" applyBorder="1"/>
    <xf numFmtId="0" fontId="0" fillId="0" borderId="17" xfId="0" applyBorder="1"/>
    <xf numFmtId="0" fontId="1" fillId="0" borderId="17" xfId="0" applyFont="1" applyBorder="1" applyAlignment="1">
      <alignment vertical="center"/>
    </xf>
    <xf numFmtId="0" fontId="26" fillId="0" borderId="0" xfId="0" applyFont="1" applyAlignment="1">
      <alignment horizontal="left" vertical="center"/>
    </xf>
    <xf numFmtId="0" fontId="1" fillId="0" borderId="112" xfId="0" applyFont="1" applyBorder="1" applyAlignment="1">
      <alignment horizontal="center"/>
    </xf>
    <xf numFmtId="0" fontId="0" fillId="0" borderId="41" xfId="0" applyBorder="1"/>
    <xf numFmtId="0" fontId="0" fillId="0" borderId="37" xfId="0" applyBorder="1"/>
    <xf numFmtId="0" fontId="45" fillId="0" borderId="0" xfId="0" applyFont="1" applyAlignment="1">
      <alignment horizontal="center"/>
    </xf>
    <xf numFmtId="0" fontId="3" fillId="0" borderId="183" xfId="0" applyFont="1" applyBorder="1" applyAlignment="1">
      <alignment horizontal="center" vertical="top"/>
    </xf>
    <xf numFmtId="0" fontId="3" fillId="0" borderId="64"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45" xfId="0" applyFont="1" applyBorder="1" applyAlignment="1">
      <alignment horizontal="center" vertical="center"/>
    </xf>
    <xf numFmtId="0" fontId="3" fillId="0" borderId="136" xfId="0" applyFont="1" applyBorder="1" applyAlignment="1">
      <alignment horizontal="center" vertical="center"/>
    </xf>
    <xf numFmtId="0" fontId="3" fillId="0" borderId="49" xfId="0" applyFont="1" applyBorder="1" applyAlignment="1">
      <alignment horizontal="center" vertical="center" wrapText="1"/>
    </xf>
    <xf numFmtId="0" fontId="3" fillId="0" borderId="49" xfId="0" applyFont="1" applyBorder="1" applyAlignment="1">
      <alignment horizontal="center" vertical="center"/>
    </xf>
    <xf numFmtId="0" fontId="88" fillId="0" borderId="0" xfId="0" applyFont="1" applyAlignment="1">
      <alignment vertical="top" wrapText="1"/>
    </xf>
    <xf numFmtId="0" fontId="11" fillId="0" borderId="0" xfId="2" applyFont="1" applyAlignment="1">
      <alignment vertical="center" wrapText="1"/>
    </xf>
    <xf numFmtId="0" fontId="1" fillId="0" borderId="24" xfId="0" applyFont="1" applyBorder="1" applyAlignment="1">
      <alignment horizontal="left" vertical="center"/>
    </xf>
    <xf numFmtId="0" fontId="3" fillId="0" borderId="180" xfId="0" applyFont="1" applyBorder="1" applyAlignment="1">
      <alignment horizontal="center" vertical="center"/>
    </xf>
    <xf numFmtId="0" fontId="96" fillId="0" borderId="0" xfId="0" applyFont="1" applyAlignment="1">
      <alignment horizontal="center" vertical="center"/>
    </xf>
    <xf numFmtId="0" fontId="9" fillId="0" borderId="0" xfId="0" applyFont="1" applyAlignment="1">
      <alignment horizontal="left" vertical="center"/>
    </xf>
    <xf numFmtId="0" fontId="74" fillId="0" borderId="0" xfId="0" applyFont="1" applyAlignment="1">
      <alignment horizontal="center" vertical="center"/>
    </xf>
    <xf numFmtId="0" fontId="9" fillId="0" borderId="0" xfId="0" applyFont="1" applyAlignment="1">
      <alignment vertical="center"/>
    </xf>
    <xf numFmtId="0" fontId="78" fillId="0" borderId="0" xfId="0" applyFont="1" applyAlignment="1">
      <alignment horizontal="center" vertical="center"/>
    </xf>
    <xf numFmtId="0" fontId="16" fillId="0" borderId="5" xfId="0" applyFont="1" applyBorder="1" applyAlignment="1">
      <alignment vertical="center"/>
    </xf>
    <xf numFmtId="0" fontId="9" fillId="0" borderId="89" xfId="0" applyFont="1" applyBorder="1" applyAlignment="1">
      <alignment horizontal="center" vertical="center"/>
    </xf>
    <xf numFmtId="0" fontId="9" fillId="0" borderId="0" xfId="0" applyFont="1" applyAlignment="1">
      <alignment vertical="center" wrapText="1"/>
    </xf>
    <xf numFmtId="0" fontId="1" fillId="0" borderId="0" xfId="0" applyFont="1" applyAlignment="1">
      <alignment vertical="center"/>
    </xf>
    <xf numFmtId="0" fontId="3" fillId="0" borderId="5" xfId="0" applyFont="1" applyBorder="1" applyAlignment="1">
      <alignment vertical="center"/>
    </xf>
    <xf numFmtId="0" fontId="3" fillId="0" borderId="5" xfId="0" applyFont="1" applyBorder="1" applyAlignment="1">
      <alignment horizontal="center" vertical="center"/>
    </xf>
    <xf numFmtId="0" fontId="9" fillId="0" borderId="5" xfId="0" applyFont="1" applyBorder="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16" fillId="0" borderId="0" xfId="0" applyFont="1" applyAlignment="1">
      <alignment vertical="center"/>
    </xf>
    <xf numFmtId="0" fontId="36" fillId="0" borderId="0" xfId="0" applyFont="1" applyAlignment="1">
      <alignment vertical="center"/>
    </xf>
    <xf numFmtId="0" fontId="82" fillId="0" borderId="0" xfId="0" applyFont="1" applyAlignment="1">
      <alignment vertical="center"/>
    </xf>
    <xf numFmtId="0" fontId="0" fillId="0" borderId="56" xfId="0" applyBorder="1" applyAlignment="1">
      <alignment horizontal="center" vertical="center"/>
    </xf>
    <xf numFmtId="0" fontId="0" fillId="0" borderId="56" xfId="0" applyBorder="1" applyAlignment="1">
      <alignment vertical="center"/>
    </xf>
    <xf numFmtId="0" fontId="2" fillId="0" borderId="56" xfId="0" applyFont="1" applyBorder="1" applyAlignment="1">
      <alignment horizontal="center" vertical="center" wrapText="1"/>
    </xf>
    <xf numFmtId="0" fontId="11" fillId="3" borderId="63" xfId="0" applyFont="1" applyFill="1" applyBorder="1" applyAlignment="1">
      <alignment horizontal="center" vertical="center"/>
    </xf>
    <xf numFmtId="0" fontId="2" fillId="4" borderId="61" xfId="0" applyFont="1" applyFill="1" applyBorder="1" applyAlignment="1">
      <alignment horizontal="center" vertical="center"/>
    </xf>
    <xf numFmtId="0" fontId="0" fillId="0" borderId="64" xfId="0" applyBorder="1" applyAlignment="1">
      <alignment horizontal="center" vertical="center"/>
    </xf>
    <xf numFmtId="0" fontId="9" fillId="0" borderId="3" xfId="0" applyFont="1" applyBorder="1" applyAlignment="1">
      <alignment horizontal="center" vertical="center" wrapText="1"/>
    </xf>
    <xf numFmtId="0" fontId="9" fillId="0" borderId="76" xfId="0" applyFont="1" applyBorder="1" applyAlignment="1">
      <alignment horizontal="center" vertical="center" wrapText="1"/>
    </xf>
    <xf numFmtId="0" fontId="16" fillId="0" borderId="10" xfId="0" applyFont="1" applyBorder="1" applyAlignment="1">
      <alignment horizontal="right" vertical="center" wrapText="1"/>
    </xf>
    <xf numFmtId="0" fontId="16" fillId="0" borderId="5" xfId="0" applyFont="1" applyBorder="1" applyAlignment="1">
      <alignment horizontal="center" vertical="center" wrapText="1"/>
    </xf>
    <xf numFmtId="0" fontId="9" fillId="0" borderId="77" xfId="0" applyFont="1" applyBorder="1" applyAlignment="1">
      <alignment horizontal="center" vertical="center" wrapText="1"/>
    </xf>
    <xf numFmtId="0" fontId="62" fillId="0" borderId="64" xfId="1" applyFont="1" applyBorder="1" applyAlignment="1" applyProtection="1">
      <alignment horizontal="center" vertical="center"/>
    </xf>
    <xf numFmtId="0" fontId="16" fillId="0" borderId="114" xfId="0" applyFont="1" applyBorder="1" applyAlignment="1">
      <alignment horizontal="center" vertical="center" wrapText="1"/>
    </xf>
    <xf numFmtId="0" fontId="9" fillId="0" borderId="130" xfId="0" applyFont="1" applyBorder="1" applyAlignment="1">
      <alignment horizontal="center" vertical="center" wrapText="1"/>
    </xf>
    <xf numFmtId="0" fontId="0" fillId="0" borderId="65" xfId="0" applyBorder="1" applyAlignment="1">
      <alignment horizontal="center" vertical="center"/>
    </xf>
    <xf numFmtId="0" fontId="16" fillId="0" borderId="66" xfId="0" applyFont="1" applyBorder="1" applyAlignment="1">
      <alignment horizontal="center" vertical="center" wrapText="1"/>
    </xf>
    <xf numFmtId="0" fontId="9" fillId="0" borderId="78" xfId="0" applyFont="1" applyBorder="1" applyAlignment="1">
      <alignment horizontal="center" vertical="center" wrapText="1"/>
    </xf>
    <xf numFmtId="0" fontId="2" fillId="6" borderId="104" xfId="0" applyFont="1" applyFill="1" applyBorder="1" applyAlignment="1">
      <alignment horizontal="center" vertical="center" wrapText="1"/>
    </xf>
    <xf numFmtId="0" fontId="16" fillId="6" borderId="104" xfId="0" applyFont="1" applyFill="1" applyBorder="1" applyAlignment="1">
      <alignment vertical="center" wrapText="1"/>
    </xf>
    <xf numFmtId="0" fontId="16" fillId="6" borderId="104" xfId="0" applyFont="1" applyFill="1" applyBorder="1" applyAlignment="1">
      <alignment horizontal="right" vertical="center" wrapText="1"/>
    </xf>
    <xf numFmtId="0" fontId="16" fillId="6" borderId="104" xfId="0" applyFont="1" applyFill="1" applyBorder="1" applyAlignment="1">
      <alignment horizontal="center" vertical="center" wrapText="1"/>
    </xf>
    <xf numFmtId="0" fontId="16" fillId="6" borderId="104" xfId="0" applyFont="1" applyFill="1" applyBorder="1" applyAlignment="1">
      <alignment horizontal="left" vertical="center" wrapText="1"/>
    </xf>
    <xf numFmtId="0" fontId="9" fillId="6" borderId="104" xfId="0" applyFont="1" applyFill="1" applyBorder="1" applyAlignment="1">
      <alignment horizontal="center" vertical="center" wrapText="1"/>
    </xf>
    <xf numFmtId="0" fontId="68" fillId="6" borderId="104" xfId="0" applyFont="1" applyFill="1" applyBorder="1" applyAlignment="1">
      <alignment horizontal="center" vertical="center" wrapText="1"/>
    </xf>
    <xf numFmtId="0" fontId="68" fillId="6" borderId="150" xfId="0" applyFont="1" applyFill="1" applyBorder="1" applyAlignment="1">
      <alignment horizontal="center" vertical="center" wrapText="1"/>
    </xf>
    <xf numFmtId="0" fontId="0" fillId="0" borderId="64" xfId="0" applyBorder="1" applyAlignment="1">
      <alignment vertical="center"/>
    </xf>
    <xf numFmtId="0" fontId="9" fillId="0" borderId="127" xfId="0" applyFont="1" applyBorder="1" applyAlignment="1">
      <alignment horizontal="left" vertical="center"/>
    </xf>
    <xf numFmtId="0" fontId="9" fillId="0" borderId="164" xfId="0" applyFont="1" applyBorder="1" applyAlignment="1">
      <alignment vertical="center"/>
    </xf>
    <xf numFmtId="0" fontId="0" fillId="0" borderId="0" xfId="0" applyAlignment="1">
      <alignment vertical="center" wrapText="1"/>
    </xf>
    <xf numFmtId="0" fontId="2" fillId="4" borderId="61" xfId="0" applyFont="1" applyFill="1" applyBorder="1" applyAlignment="1">
      <alignment horizontal="center"/>
    </xf>
    <xf numFmtId="0" fontId="2" fillId="4" borderId="24" xfId="0" applyFont="1" applyFill="1" applyBorder="1" applyAlignment="1">
      <alignment vertical="center" wrapText="1"/>
    </xf>
    <xf numFmtId="0" fontId="12" fillId="4" borderId="22" xfId="0" applyFont="1" applyFill="1" applyBorder="1" applyAlignment="1">
      <alignment horizontal="center" vertical="center" wrapText="1"/>
    </xf>
    <xf numFmtId="0" fontId="16" fillId="0" borderId="21" xfId="0" applyFont="1" applyBorder="1" applyAlignment="1">
      <alignment horizontal="right" vertical="center" wrapText="1"/>
    </xf>
    <xf numFmtId="0" fontId="16" fillId="0" borderId="3" xfId="0" applyFont="1" applyBorder="1" applyAlignment="1">
      <alignment horizontal="center" vertical="center" wrapText="1"/>
    </xf>
    <xf numFmtId="0" fontId="16" fillId="0" borderId="76" xfId="0" applyFont="1" applyBorder="1" applyAlignment="1">
      <alignment horizontal="center" vertical="center" wrapText="1"/>
    </xf>
    <xf numFmtId="0" fontId="6" fillId="0" borderId="0" xfId="0" applyFont="1" applyAlignment="1">
      <alignment horizontal="center" vertical="center" wrapText="1"/>
    </xf>
    <xf numFmtId="0" fontId="16" fillId="0" borderId="6" xfId="0" applyFont="1" applyBorder="1" applyAlignment="1">
      <alignment vertical="center" wrapText="1"/>
    </xf>
    <xf numFmtId="0" fontId="16" fillId="0" borderId="77" xfId="0" applyFont="1" applyBorder="1" applyAlignment="1">
      <alignment horizontal="center" vertical="center" wrapText="1"/>
    </xf>
    <xf numFmtId="0" fontId="16" fillId="0" borderId="25" xfId="0" applyFont="1" applyBorder="1" applyAlignment="1">
      <alignment vertical="center" wrapText="1"/>
    </xf>
    <xf numFmtId="0" fontId="0" fillId="0" borderId="57" xfId="0" applyBorder="1" applyAlignment="1">
      <alignment horizontal="center" vertical="center"/>
    </xf>
    <xf numFmtId="0" fontId="3" fillId="0" borderId="0" xfId="0" applyFont="1" applyAlignment="1">
      <alignment vertical="center" wrapText="1"/>
    </xf>
    <xf numFmtId="0" fontId="2" fillId="4" borderId="102" xfId="0" applyFont="1" applyFill="1" applyBorder="1" applyAlignment="1">
      <alignment horizontal="center" vertical="center"/>
    </xf>
    <xf numFmtId="0" fontId="14" fillId="4" borderId="106" xfId="0" applyFont="1" applyFill="1" applyBorder="1" applyAlignment="1">
      <alignment vertical="center" wrapText="1"/>
    </xf>
    <xf numFmtId="0" fontId="16" fillId="0" borderId="84" xfId="0" applyFont="1" applyBorder="1" applyAlignment="1">
      <alignment horizontal="center" vertical="center" wrapText="1"/>
    </xf>
    <xf numFmtId="167" fontId="0" fillId="0" borderId="0" xfId="0" applyNumberFormat="1" applyAlignment="1">
      <alignment vertical="center"/>
    </xf>
    <xf numFmtId="0" fontId="16" fillId="0" borderId="12" xfId="0" applyFont="1" applyBorder="1" applyAlignment="1">
      <alignment horizontal="right" vertical="center" wrapText="1"/>
    </xf>
    <xf numFmtId="0" fontId="16" fillId="0" borderId="42" xfId="0" applyFont="1" applyBorder="1" applyAlignment="1">
      <alignment vertical="center" wrapText="1"/>
    </xf>
    <xf numFmtId="0" fontId="16" fillId="0" borderId="8" xfId="0" applyFont="1" applyBorder="1" applyAlignment="1">
      <alignment vertical="center" wrapText="1"/>
    </xf>
    <xf numFmtId="0" fontId="42" fillId="0" borderId="71" xfId="1" applyFont="1" applyBorder="1" applyAlignment="1" applyProtection="1">
      <alignment horizontal="center" vertical="center"/>
    </xf>
    <xf numFmtId="0" fontId="2" fillId="4" borderId="102" xfId="1" applyFont="1" applyFill="1" applyBorder="1" applyAlignment="1" applyProtection="1">
      <alignment horizontal="center" vertical="center"/>
    </xf>
    <xf numFmtId="0" fontId="14" fillId="4" borderId="104" xfId="0" applyFont="1" applyFill="1" applyBorder="1" applyAlignment="1">
      <alignment vertical="center"/>
    </xf>
    <xf numFmtId="0" fontId="50" fillId="4" borderId="153" xfId="0" applyFont="1" applyFill="1" applyBorder="1" applyAlignment="1">
      <alignment vertical="center" wrapText="1"/>
    </xf>
    <xf numFmtId="0" fontId="50" fillId="4" borderId="106" xfId="0" applyFont="1" applyFill="1" applyBorder="1" applyAlignment="1">
      <alignment vertical="center" wrapText="1"/>
    </xf>
    <xf numFmtId="0" fontId="42" fillId="0" borderId="86" xfId="1" applyFont="1" applyBorder="1" applyAlignment="1" applyProtection="1">
      <alignment horizontal="center" vertical="center"/>
    </xf>
    <xf numFmtId="0" fontId="50" fillId="0" borderId="0" xfId="0" applyFont="1" applyAlignment="1">
      <alignment vertical="center"/>
    </xf>
    <xf numFmtId="0" fontId="50" fillId="0" borderId="0" xfId="0" applyFont="1" applyAlignment="1">
      <alignment vertical="center" wrapText="1"/>
    </xf>
    <xf numFmtId="0" fontId="52" fillId="0" borderId="135" xfId="0" applyFont="1" applyBorder="1" applyAlignment="1">
      <alignment horizontal="center" vertical="center" wrapText="1"/>
    </xf>
    <xf numFmtId="0" fontId="14" fillId="4" borderId="104" xfId="0" applyFont="1" applyFill="1" applyBorder="1" applyAlignment="1">
      <alignment vertical="center" wrapText="1"/>
    </xf>
    <xf numFmtId="0" fontId="19" fillId="4" borderId="104" xfId="0" applyFont="1" applyFill="1" applyBorder="1" applyAlignment="1">
      <alignment horizontal="center" vertical="center" wrapText="1"/>
    </xf>
    <xf numFmtId="0" fontId="0" fillId="0" borderId="57" xfId="0" applyBorder="1" applyAlignment="1">
      <alignment vertical="center"/>
    </xf>
    <xf numFmtId="0" fontId="16" fillId="0" borderId="40" xfId="0" applyFont="1" applyBorder="1" applyAlignment="1">
      <alignment vertical="center" wrapText="1"/>
    </xf>
    <xf numFmtId="0" fontId="16" fillId="0" borderId="3" xfId="0" applyFont="1" applyBorder="1" applyAlignment="1">
      <alignment horizontal="right" vertical="center"/>
    </xf>
    <xf numFmtId="49" fontId="16" fillId="0" borderId="3"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0" borderId="73" xfId="0" applyFont="1" applyBorder="1" applyAlignment="1">
      <alignment vertical="center" wrapText="1"/>
    </xf>
    <xf numFmtId="49" fontId="16" fillId="0" borderId="5"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0" fillId="0" borderId="70" xfId="0" applyBorder="1" applyAlignment="1">
      <alignment vertical="center"/>
    </xf>
    <xf numFmtId="0" fontId="16" fillId="0" borderId="9" xfId="0" applyFont="1" applyBorder="1" applyAlignment="1">
      <alignment horizontal="right" vertical="center" wrapText="1"/>
    </xf>
    <xf numFmtId="49" fontId="16" fillId="0" borderId="8"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0" fillId="0" borderId="75" xfId="0" applyBorder="1" applyAlignment="1">
      <alignment horizontal="center" vertical="center"/>
    </xf>
    <xf numFmtId="49" fontId="3" fillId="0" borderId="0" xfId="0" applyNumberFormat="1" applyFont="1" applyAlignment="1">
      <alignment vertical="center"/>
    </xf>
    <xf numFmtId="0" fontId="0" fillId="0" borderId="90" xfId="0" applyBorder="1" applyAlignment="1">
      <alignment horizontal="center" vertical="center"/>
    </xf>
    <xf numFmtId="0" fontId="46" fillId="0" borderId="0" xfId="0" applyFont="1" applyAlignment="1">
      <alignment vertical="center" wrapText="1"/>
    </xf>
    <xf numFmtId="0" fontId="46" fillId="4" borderId="8" xfId="0" applyFont="1" applyFill="1" applyBorder="1" applyAlignment="1">
      <alignment vertical="center" wrapText="1"/>
    </xf>
    <xf numFmtId="0" fontId="22" fillId="4" borderId="23" xfId="0" applyFont="1" applyFill="1" applyBorder="1" applyAlignment="1">
      <alignment horizontal="right" vertical="center"/>
    </xf>
    <xf numFmtId="0" fontId="22" fillId="0" borderId="3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52" xfId="0" applyFont="1" applyBorder="1" applyAlignment="1">
      <alignment horizontal="center" vertical="center" wrapText="1"/>
    </xf>
    <xf numFmtId="0" fontId="2" fillId="4" borderId="104" xfId="0" applyFont="1" applyFill="1" applyBorder="1" applyAlignment="1">
      <alignment vertical="center" wrapText="1"/>
    </xf>
    <xf numFmtId="0" fontId="2" fillId="4" borderId="105" xfId="0" applyFont="1" applyFill="1" applyBorder="1" applyAlignment="1">
      <alignment horizontal="center" vertical="center" wrapText="1"/>
    </xf>
    <xf numFmtId="0" fontId="0" fillId="4" borderId="104" xfId="0" applyFill="1" applyBorder="1" applyAlignment="1">
      <alignment vertical="center"/>
    </xf>
    <xf numFmtId="0" fontId="0" fillId="0" borderId="79" xfId="0" applyBorder="1" applyAlignment="1">
      <alignment vertical="center"/>
    </xf>
    <xf numFmtId="49" fontId="3" fillId="0" borderId="4" xfId="0" applyNumberFormat="1" applyFont="1" applyBorder="1" applyAlignment="1">
      <alignment horizontal="center" vertical="center"/>
    </xf>
    <xf numFmtId="0" fontId="16" fillId="0" borderId="19" xfId="0" applyFont="1" applyBorder="1" applyAlignment="1">
      <alignment horizontal="center" vertical="center" wrapText="1"/>
    </xf>
    <xf numFmtId="0" fontId="9" fillId="0" borderId="16" xfId="0" applyFont="1" applyBorder="1" applyAlignment="1">
      <alignment horizontal="left" vertical="center"/>
    </xf>
    <xf numFmtId="49" fontId="9" fillId="0" borderId="6" xfId="0" applyNumberFormat="1" applyFont="1" applyBorder="1" applyAlignment="1">
      <alignment vertical="center"/>
    </xf>
    <xf numFmtId="0" fontId="9" fillId="0" borderId="16" xfId="0" applyFont="1" applyBorder="1" applyAlignment="1">
      <alignment vertical="center"/>
    </xf>
    <xf numFmtId="49" fontId="9" fillId="0" borderId="16" xfId="0" applyNumberFormat="1" applyFont="1" applyBorder="1" applyAlignment="1">
      <alignment vertical="center"/>
    </xf>
    <xf numFmtId="0" fontId="9" fillId="0" borderId="18" xfId="0" applyFont="1" applyBorder="1" applyAlignment="1">
      <alignment vertical="center"/>
    </xf>
    <xf numFmtId="0" fontId="9" fillId="0" borderId="5" xfId="0" applyFont="1" applyBorder="1" applyAlignment="1">
      <alignment vertical="center" wrapText="1"/>
    </xf>
    <xf numFmtId="49" fontId="3" fillId="0" borderId="13" xfId="0" applyNumberFormat="1" applyFont="1" applyBorder="1" applyAlignment="1">
      <alignment horizontal="center" vertical="center"/>
    </xf>
    <xf numFmtId="0" fontId="9" fillId="0" borderId="12" xfId="0" applyFont="1" applyBorder="1" applyAlignment="1">
      <alignment horizontal="center" vertical="center" wrapText="1"/>
    </xf>
    <xf numFmtId="0" fontId="9" fillId="0" borderId="5" xfId="0" applyFont="1" applyBorder="1" applyAlignment="1">
      <alignment horizontal="center" vertical="center"/>
    </xf>
    <xf numFmtId="0" fontId="9" fillId="0" borderId="12" xfId="0" applyFont="1" applyBorder="1" applyAlignment="1">
      <alignment horizontal="left" vertical="center"/>
    </xf>
    <xf numFmtId="49" fontId="9" fillId="0" borderId="5" xfId="0" applyNumberFormat="1" applyFont="1" applyBorder="1" applyAlignment="1">
      <alignment vertical="center"/>
    </xf>
    <xf numFmtId="0" fontId="9" fillId="0" borderId="13" xfId="0" applyFont="1" applyBorder="1" applyAlignment="1">
      <alignment vertical="center"/>
    </xf>
    <xf numFmtId="49" fontId="9" fillId="0" borderId="13" xfId="0" applyNumberFormat="1" applyFont="1" applyBorder="1" applyAlignment="1">
      <alignment vertical="center"/>
    </xf>
    <xf numFmtId="0" fontId="3" fillId="0" borderId="13" xfId="0" applyFont="1" applyBorder="1" applyAlignment="1">
      <alignment horizontal="center" vertical="center" wrapText="1"/>
    </xf>
    <xf numFmtId="0" fontId="9" fillId="0" borderId="81" xfId="0" applyFont="1" applyBorder="1" applyAlignment="1">
      <alignment horizontal="center" vertical="center"/>
    </xf>
    <xf numFmtId="0" fontId="9" fillId="0" borderId="83" xfId="0" applyFont="1" applyBorder="1" applyAlignment="1">
      <alignment horizontal="left" vertical="center"/>
    </xf>
    <xf numFmtId="0" fontId="9" fillId="0" borderId="81" xfId="0" applyFont="1" applyBorder="1" applyAlignment="1">
      <alignment vertical="center"/>
    </xf>
    <xf numFmtId="49" fontId="9" fillId="0" borderId="81" xfId="0" applyNumberFormat="1" applyFont="1" applyBorder="1" applyAlignment="1">
      <alignment vertical="center"/>
    </xf>
    <xf numFmtId="49" fontId="9" fillId="0" borderId="82" xfId="0" applyNumberFormat="1" applyFont="1" applyBorder="1" applyAlignment="1">
      <alignment vertical="center"/>
    </xf>
    <xf numFmtId="0" fontId="2" fillId="4" borderId="106" xfId="0" applyFont="1" applyFill="1" applyBorder="1" applyAlignment="1">
      <alignment vertical="center" wrapText="1"/>
    </xf>
    <xf numFmtId="0" fontId="0" fillId="0" borderId="59" xfId="0" applyBorder="1" applyAlignment="1">
      <alignment vertical="center"/>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6" xfId="0" applyFont="1" applyBorder="1" applyAlignment="1">
      <alignment horizontal="center" vertical="center" wrapText="1"/>
    </xf>
    <xf numFmtId="0" fontId="0" fillId="0" borderId="60" xfId="0" applyBorder="1" applyAlignment="1">
      <alignment vertical="center"/>
    </xf>
    <xf numFmtId="0" fontId="9" fillId="0" borderId="13" xfId="0" applyFont="1" applyBorder="1" applyAlignment="1">
      <alignment vertical="center" wrapText="1"/>
    </xf>
    <xf numFmtId="0" fontId="9" fillId="0" borderId="16" xfId="0" applyFont="1" applyBorder="1" applyAlignment="1">
      <alignment horizontal="right" vertical="center"/>
    </xf>
    <xf numFmtId="0" fontId="70" fillId="0" borderId="5" xfId="0" applyFont="1" applyBorder="1" applyAlignment="1">
      <alignment horizontal="center" vertical="center"/>
    </xf>
    <xf numFmtId="0" fontId="9" fillId="0" borderId="54" xfId="0" applyFont="1" applyBorder="1" applyAlignment="1">
      <alignment vertical="center"/>
    </xf>
    <xf numFmtId="0" fontId="70" fillId="0" borderId="5" xfId="0" applyFont="1" applyBorder="1" applyAlignment="1">
      <alignment horizontal="right" vertical="center"/>
    </xf>
    <xf numFmtId="0" fontId="0" fillId="0" borderId="115" xfId="0" applyBorder="1" applyAlignment="1">
      <alignment vertical="center"/>
    </xf>
    <xf numFmtId="0" fontId="9" fillId="0" borderId="66" xfId="0" applyFont="1" applyBorder="1" applyAlignment="1">
      <alignment vertical="center" wrapText="1"/>
    </xf>
    <xf numFmtId="0" fontId="9" fillId="0" borderId="67" xfId="0" applyFont="1" applyBorder="1" applyAlignment="1">
      <alignment vertical="center" wrapText="1"/>
    </xf>
    <xf numFmtId="0" fontId="9" fillId="0" borderId="67" xfId="0" applyFont="1" applyBorder="1" applyAlignment="1">
      <alignment horizontal="center" vertical="center" wrapText="1"/>
    </xf>
    <xf numFmtId="0" fontId="16" fillId="0" borderId="0" xfId="0" applyFont="1" applyAlignment="1">
      <alignment vertical="center" wrapText="1"/>
    </xf>
    <xf numFmtId="0" fontId="9" fillId="0" borderId="0" xfId="0" applyFont="1" applyAlignment="1">
      <alignment horizontal="center" vertical="center" wrapText="1"/>
    </xf>
    <xf numFmtId="0" fontId="0" fillId="0" borderId="116" xfId="0" applyBorder="1" applyAlignment="1">
      <alignment vertical="center"/>
    </xf>
    <xf numFmtId="0" fontId="70" fillId="0" borderId="8" xfId="0" applyFont="1" applyBorder="1" applyAlignment="1">
      <alignment horizontal="right" vertical="center"/>
    </xf>
    <xf numFmtId="0" fontId="70" fillId="0" borderId="23" xfId="0" applyFont="1" applyBorder="1" applyAlignment="1">
      <alignment horizontal="left" vertical="center"/>
    </xf>
    <xf numFmtId="0" fontId="16" fillId="0" borderId="73" xfId="0" applyFont="1" applyBorder="1" applyAlignment="1">
      <alignment horizontal="center" vertical="center" wrapText="1"/>
    </xf>
    <xf numFmtId="0" fontId="16" fillId="0" borderId="28" xfId="0" applyFont="1" applyBorder="1" applyAlignment="1">
      <alignment vertical="center" wrapText="1"/>
    </xf>
    <xf numFmtId="0" fontId="16" fillId="0" borderId="51" xfId="0" applyFont="1" applyBorder="1" applyAlignment="1">
      <alignment horizontal="center" vertical="center" wrapText="1"/>
    </xf>
    <xf numFmtId="0" fontId="16" fillId="0" borderId="23" xfId="0" applyFont="1" applyBorder="1" applyAlignment="1">
      <alignment vertical="center" wrapText="1"/>
    </xf>
    <xf numFmtId="0" fontId="16" fillId="0" borderId="85" xfId="0" applyFont="1" applyBorder="1" applyAlignment="1">
      <alignment horizontal="center" vertical="center" wrapText="1"/>
    </xf>
    <xf numFmtId="0" fontId="0" fillId="0" borderId="71" xfId="0" applyBorder="1" applyAlignment="1">
      <alignment vertical="center"/>
    </xf>
    <xf numFmtId="0" fontId="50" fillId="0" borderId="72" xfId="0" applyFont="1" applyBorder="1" applyAlignment="1">
      <alignment horizontal="left" vertical="center" wrapText="1"/>
    </xf>
    <xf numFmtId="0" fontId="12" fillId="0" borderId="0" xfId="0" applyFont="1" applyAlignment="1">
      <alignment horizontal="center" vertical="center" wrapText="1"/>
    </xf>
    <xf numFmtId="49" fontId="9" fillId="0" borderId="0" xfId="0" applyNumberFormat="1" applyFont="1" applyAlignment="1">
      <alignment horizontal="center" vertical="center" wrapText="1"/>
    </xf>
    <xf numFmtId="0" fontId="2" fillId="0" borderId="0" xfId="0" applyFont="1" applyAlignment="1">
      <alignment horizontal="center" vertical="center" wrapText="1"/>
    </xf>
    <xf numFmtId="0" fontId="9" fillId="0" borderId="74" xfId="0" applyFont="1" applyBorder="1" applyAlignment="1">
      <alignment horizontal="center" vertical="center" wrapText="1"/>
    </xf>
    <xf numFmtId="0" fontId="28" fillId="4" borderId="45" xfId="0" applyFont="1" applyFill="1" applyBorder="1" applyAlignment="1">
      <alignment horizontal="center" vertical="center" wrapText="1"/>
    </xf>
    <xf numFmtId="0" fontId="22" fillId="4" borderId="94" xfId="0" applyFont="1" applyFill="1" applyBorder="1" applyAlignment="1">
      <alignment horizontal="right" wrapText="1"/>
    </xf>
    <xf numFmtId="0" fontId="21" fillId="4" borderId="107" xfId="0" applyFont="1" applyFill="1" applyBorder="1" applyAlignment="1">
      <alignment wrapText="1"/>
    </xf>
    <xf numFmtId="49" fontId="39" fillId="0" borderId="0" xfId="0" applyNumberFormat="1" applyFont="1" applyAlignment="1">
      <alignment horizontal="center" wrapText="1"/>
    </xf>
    <xf numFmtId="0" fontId="21" fillId="4" borderId="24" xfId="0" applyFont="1" applyFill="1" applyBorder="1" applyAlignment="1">
      <alignment wrapText="1"/>
    </xf>
    <xf numFmtId="0" fontId="45" fillId="4" borderId="74" xfId="0" applyFont="1" applyFill="1" applyBorder="1" applyAlignment="1">
      <alignment horizontal="center" wrapText="1"/>
    </xf>
    <xf numFmtId="0" fontId="45" fillId="4" borderId="23" xfId="0" applyFont="1" applyFill="1" applyBorder="1" applyAlignment="1">
      <alignment horizontal="center" wrapText="1"/>
    </xf>
    <xf numFmtId="0" fontId="45" fillId="4" borderId="55" xfId="0" applyFont="1" applyFill="1" applyBorder="1" applyAlignment="1">
      <alignment horizontal="center" wrapText="1"/>
    </xf>
    <xf numFmtId="0" fontId="45" fillId="4" borderId="108" xfId="0" applyFont="1" applyFill="1" applyBorder="1" applyAlignment="1">
      <alignment horizontal="center" wrapText="1"/>
    </xf>
    <xf numFmtId="0" fontId="0" fillId="0" borderId="18" xfId="0" applyBorder="1" applyAlignment="1">
      <alignment vertical="center"/>
    </xf>
    <xf numFmtId="0" fontId="134" fillId="0" borderId="0" xfId="0" applyFont="1" applyAlignment="1">
      <alignment horizontal="center" vertical="center"/>
    </xf>
    <xf numFmtId="49" fontId="9" fillId="2" borderId="0" xfId="0" applyNumberFormat="1" applyFont="1" applyFill="1" applyAlignment="1">
      <alignment horizontal="center"/>
    </xf>
    <xf numFmtId="0" fontId="9" fillId="0" borderId="11" xfId="0" applyFont="1" applyBorder="1" applyAlignment="1">
      <alignment horizontal="center" vertical="center" wrapText="1"/>
    </xf>
    <xf numFmtId="0" fontId="20" fillId="0" borderId="0" xfId="0" applyFont="1" applyAlignment="1">
      <alignment vertical="center" wrapText="1"/>
    </xf>
    <xf numFmtId="0" fontId="2" fillId="4" borderId="85" xfId="0" applyFont="1" applyFill="1" applyBorder="1" applyAlignment="1">
      <alignment horizontal="center" vertical="center" wrapText="1"/>
    </xf>
    <xf numFmtId="0" fontId="9" fillId="0" borderId="19" xfId="0" applyFont="1" applyBorder="1" applyAlignment="1">
      <alignment horizontal="center" vertical="center" wrapText="1"/>
    </xf>
    <xf numFmtId="0" fontId="14" fillId="4" borderId="105" xfId="0" applyFont="1" applyFill="1" applyBorder="1" applyAlignment="1">
      <alignment vertical="center"/>
    </xf>
    <xf numFmtId="0" fontId="14" fillId="4" borderId="85" xfId="0" applyFont="1" applyFill="1" applyBorder="1" applyAlignment="1">
      <alignment vertical="center" wrapText="1"/>
    </xf>
    <xf numFmtId="0" fontId="16" fillId="0" borderId="0" xfId="0" applyFont="1" applyAlignment="1">
      <alignment horizontal="center" vertical="center"/>
    </xf>
    <xf numFmtId="0" fontId="16" fillId="0" borderId="111" xfId="0" applyFont="1" applyBorder="1" applyAlignment="1">
      <alignment vertical="center" wrapText="1"/>
    </xf>
    <xf numFmtId="0" fontId="16" fillId="0" borderId="21" xfId="0" applyFont="1" applyBorder="1" applyAlignment="1">
      <alignment horizontal="left" vertical="center" wrapText="1"/>
    </xf>
    <xf numFmtId="0" fontId="16" fillId="0" borderId="3" xfId="0" applyFont="1" applyBorder="1" applyAlignment="1">
      <alignment horizontal="left" vertical="center" wrapText="1"/>
    </xf>
    <xf numFmtId="0" fontId="3" fillId="0" borderId="4" xfId="0" applyFont="1" applyBorder="1" applyAlignment="1">
      <alignment vertical="center"/>
    </xf>
    <xf numFmtId="0" fontId="16" fillId="0" borderId="10" xfId="0" applyFont="1" applyBorder="1" applyAlignment="1">
      <alignment horizontal="left" vertical="center" wrapText="1"/>
    </xf>
    <xf numFmtId="0" fontId="16" fillId="0" borderId="5" xfId="0" applyFont="1" applyBorder="1" applyAlignment="1">
      <alignment horizontal="left" vertical="center" wrapText="1"/>
    </xf>
    <xf numFmtId="0" fontId="3" fillId="0" borderId="13" xfId="0" applyFont="1" applyBorder="1" applyAlignment="1">
      <alignment vertical="center"/>
    </xf>
    <xf numFmtId="0" fontId="16" fillId="0" borderId="164" xfId="0" applyFont="1" applyBorder="1" applyAlignment="1">
      <alignment vertical="center" wrapText="1"/>
    </xf>
    <xf numFmtId="0" fontId="16" fillId="0" borderId="38" xfId="0" applyFont="1" applyBorder="1" applyAlignment="1">
      <alignment horizontal="left" vertical="center" wrapText="1"/>
    </xf>
    <xf numFmtId="0" fontId="16" fillId="0" borderId="66" xfId="0" applyFont="1" applyBorder="1" applyAlignment="1">
      <alignment horizontal="left" vertical="center" wrapText="1"/>
    </xf>
    <xf numFmtId="0" fontId="3" fillId="0" borderId="67" xfId="0" applyFont="1" applyBorder="1" applyAlignment="1">
      <alignment vertical="center"/>
    </xf>
    <xf numFmtId="0" fontId="16" fillId="0" borderId="0" xfId="0" applyFont="1" applyAlignment="1">
      <alignment horizontal="center" vertical="center" wrapText="1"/>
    </xf>
    <xf numFmtId="0" fontId="9" fillId="0" borderId="89" xfId="0" applyFont="1" applyBorder="1" applyAlignment="1">
      <alignment horizontal="center" vertical="center" wrapText="1"/>
    </xf>
    <xf numFmtId="0" fontId="0" fillId="0" borderId="88" xfId="0" applyBorder="1" applyAlignment="1">
      <alignment horizontal="center" vertical="center"/>
    </xf>
    <xf numFmtId="0" fontId="9" fillId="0" borderId="138" xfId="0" applyFont="1" applyBorder="1" applyAlignment="1">
      <alignment horizontal="right" vertical="center"/>
    </xf>
    <xf numFmtId="0" fontId="9" fillId="0" borderId="16" xfId="0" applyFont="1" applyBorder="1" applyAlignment="1">
      <alignment vertical="center" wrapText="1"/>
    </xf>
    <xf numFmtId="0" fontId="9" fillId="0" borderId="12" xfId="0" applyFont="1" applyBorder="1" applyAlignment="1">
      <alignment horizontal="right" vertical="center"/>
    </xf>
    <xf numFmtId="0" fontId="9" fillId="0" borderId="54" xfId="0" applyFont="1" applyBorder="1" applyAlignment="1">
      <alignment vertical="center" wrapText="1"/>
    </xf>
    <xf numFmtId="0" fontId="9" fillId="4" borderId="167" xfId="0" applyFont="1" applyFill="1" applyBorder="1" applyAlignment="1">
      <alignment horizontal="center" vertical="center"/>
    </xf>
    <xf numFmtId="0" fontId="9" fillId="4" borderId="58" xfId="0" applyFont="1" applyFill="1" applyBorder="1" applyAlignment="1">
      <alignment horizontal="center" vertical="center"/>
    </xf>
    <xf numFmtId="0" fontId="9" fillId="0" borderId="45" xfId="0" applyFont="1" applyBorder="1" applyAlignment="1">
      <alignment horizontal="center" vertical="top"/>
    </xf>
    <xf numFmtId="0" fontId="0" fillId="0" borderId="24" xfId="0" applyBorder="1" applyAlignment="1">
      <alignment vertical="center"/>
    </xf>
    <xf numFmtId="0" fontId="9" fillId="0" borderId="24" xfId="0" applyFont="1" applyBorder="1" applyAlignment="1">
      <alignment horizontal="center" wrapText="1"/>
    </xf>
    <xf numFmtId="0" fontId="2" fillId="0" borderId="0" xfId="0" applyFont="1" applyAlignment="1">
      <alignment horizontal="center" vertical="center"/>
    </xf>
    <xf numFmtId="0" fontId="2" fillId="0" borderId="0" xfId="0" applyFont="1" applyAlignment="1">
      <alignment vertical="center"/>
    </xf>
    <xf numFmtId="0" fontId="31" fillId="0" borderId="0" xfId="0" applyFont="1" applyAlignment="1">
      <alignment horizontal="center"/>
    </xf>
    <xf numFmtId="0" fontId="3" fillId="0" borderId="0" xfId="0" applyFont="1" applyAlignment="1">
      <alignment horizontal="center"/>
    </xf>
    <xf numFmtId="0" fontId="33" fillId="0" borderId="0" xfId="0" applyFont="1" applyAlignment="1">
      <alignment horizontal="center" vertical="center"/>
    </xf>
    <xf numFmtId="0" fontId="37" fillId="0" borderId="0" xfId="0" applyFont="1" applyAlignment="1">
      <alignment horizontal="left" vertical="center"/>
    </xf>
    <xf numFmtId="0" fontId="3" fillId="0" borderId="0" xfId="0" applyFont="1"/>
    <xf numFmtId="0" fontId="9" fillId="0" borderId="0" xfId="0" applyFont="1" applyAlignment="1">
      <alignment horizontal="left"/>
    </xf>
    <xf numFmtId="0" fontId="37" fillId="0" borderId="0" xfId="0" applyFont="1" applyAlignment="1">
      <alignment horizontal="center" vertical="center"/>
    </xf>
    <xf numFmtId="0" fontId="9" fillId="0" borderId="13" xfId="0" applyFont="1" applyBorder="1" applyAlignment="1">
      <alignment horizontal="center" vertical="center"/>
    </xf>
    <xf numFmtId="0" fontId="0" fillId="0" borderId="84" xfId="0" applyBorder="1" applyAlignment="1">
      <alignment vertical="center"/>
    </xf>
    <xf numFmtId="0" fontId="3" fillId="0" borderId="0" xfId="0" applyFont="1" applyAlignment="1">
      <alignment horizontal="right"/>
    </xf>
    <xf numFmtId="0" fontId="0" fillId="0" borderId="0" xfId="0" applyAlignment="1">
      <alignment horizontal="center" vertical="center"/>
    </xf>
    <xf numFmtId="0" fontId="9" fillId="4" borderId="106" xfId="0" applyFont="1" applyFill="1" applyBorder="1" applyAlignment="1">
      <alignment horizontal="center" vertical="center" wrapText="1"/>
    </xf>
    <xf numFmtId="0" fontId="9" fillId="0" borderId="31" xfId="0" applyFont="1" applyBorder="1" applyAlignment="1">
      <alignment vertical="center" wrapText="1"/>
    </xf>
    <xf numFmtId="0" fontId="120" fillId="0" borderId="21" xfId="0" applyFont="1" applyBorder="1" applyAlignment="1">
      <alignment horizontal="right" vertical="center"/>
    </xf>
    <xf numFmtId="17" fontId="9" fillId="0" borderId="84" xfId="0" applyNumberFormat="1" applyFont="1" applyBorder="1" applyAlignment="1">
      <alignment horizontal="center" vertical="center" wrapText="1"/>
    </xf>
    <xf numFmtId="0" fontId="9" fillId="0" borderId="1" xfId="0" applyFont="1" applyBorder="1" applyAlignment="1">
      <alignment vertical="center" wrapText="1"/>
    </xf>
    <xf numFmtId="0" fontId="120" fillId="0" borderId="10" xfId="0" applyFont="1" applyBorder="1" applyAlignment="1">
      <alignment horizontal="right" vertical="center"/>
    </xf>
    <xf numFmtId="0" fontId="120" fillId="0" borderId="9" xfId="0" applyFont="1" applyBorder="1" applyAlignment="1">
      <alignment horizontal="right" vertical="center"/>
    </xf>
    <xf numFmtId="0" fontId="9" fillId="0" borderId="85" xfId="0" applyFont="1" applyBorder="1" applyAlignment="1">
      <alignment horizontal="center" vertical="center" wrapText="1"/>
    </xf>
    <xf numFmtId="0" fontId="70" fillId="0" borderId="0" xfId="0" applyFont="1" applyAlignment="1">
      <alignment horizontal="center" vertical="center"/>
    </xf>
    <xf numFmtId="0" fontId="12" fillId="0" borderId="0" xfId="0" applyFont="1"/>
    <xf numFmtId="0" fontId="70" fillId="0" borderId="0" xfId="0" applyFont="1" applyAlignment="1">
      <alignment horizontal="right" vertical="center"/>
    </xf>
    <xf numFmtId="0" fontId="75" fillId="0" borderId="0" xfId="0" applyFont="1" applyAlignment="1">
      <alignment horizontal="left" vertical="center"/>
    </xf>
    <xf numFmtId="0" fontId="3" fillId="0" borderId="0" xfId="0" applyFont="1" applyAlignment="1">
      <alignment horizontal="center" vertical="center" textRotation="90"/>
    </xf>
    <xf numFmtId="0" fontId="120" fillId="0" borderId="14" xfId="0" applyFont="1" applyBorder="1" applyAlignment="1">
      <alignment horizontal="right" vertical="center"/>
    </xf>
    <xf numFmtId="16" fontId="9" fillId="0" borderId="84" xfId="0" applyNumberFormat="1" applyFont="1" applyBorder="1" applyAlignment="1">
      <alignment horizontal="center" vertical="center" wrapText="1"/>
    </xf>
    <xf numFmtId="17" fontId="9" fillId="0" borderId="85" xfId="0" applyNumberFormat="1" applyFont="1" applyBorder="1" applyAlignment="1">
      <alignment horizontal="center" vertical="center" wrapText="1"/>
    </xf>
    <xf numFmtId="0" fontId="0" fillId="0" borderId="88" xfId="0" applyBorder="1" applyAlignment="1">
      <alignment vertical="center"/>
    </xf>
    <xf numFmtId="0" fontId="0" fillId="0" borderId="110" xfId="0" applyBorder="1" applyAlignment="1">
      <alignment vertical="center"/>
    </xf>
    <xf numFmtId="17" fontId="9" fillId="0" borderId="0" xfId="0" applyNumberFormat="1" applyFont="1" applyAlignment="1">
      <alignment horizontal="center" vertical="center" wrapText="1"/>
    </xf>
    <xf numFmtId="0" fontId="33" fillId="0" borderId="0" xfId="0" applyFont="1" applyAlignment="1">
      <alignment vertical="center"/>
    </xf>
    <xf numFmtId="0" fontId="9" fillId="0" borderId="0" xfId="0" applyFont="1" applyAlignment="1">
      <alignment horizontal="right" vertical="center"/>
    </xf>
    <xf numFmtId="0" fontId="42" fillId="0" borderId="90" xfId="1" applyFont="1" applyBorder="1" applyAlignment="1" applyProtection="1">
      <alignment horizontal="center" vertical="center"/>
    </xf>
    <xf numFmtId="0" fontId="9" fillId="0" borderId="56" xfId="0" applyFont="1" applyBorder="1" applyAlignment="1">
      <alignment vertical="center" wrapText="1"/>
    </xf>
    <xf numFmtId="0" fontId="116" fillId="0" borderId="0" xfId="0" applyFont="1" applyAlignment="1">
      <alignment horizontal="left"/>
    </xf>
    <xf numFmtId="2" fontId="9" fillId="0" borderId="36" xfId="0" applyNumberFormat="1" applyFont="1" applyBorder="1" applyAlignment="1">
      <alignment horizontal="center" vertical="center" wrapText="1"/>
    </xf>
    <xf numFmtId="0" fontId="43" fillId="0" borderId="0" xfId="0" applyFont="1" applyAlignment="1">
      <alignment horizontal="center" vertical="center"/>
    </xf>
    <xf numFmtId="0" fontId="9" fillId="0" borderId="5" xfId="0" applyFont="1" applyBorder="1" applyAlignment="1">
      <alignment horizontal="left" vertical="top"/>
    </xf>
    <xf numFmtId="0" fontId="0" fillId="0" borderId="13" xfId="0" applyBorder="1" applyAlignment="1">
      <alignment vertical="center"/>
    </xf>
    <xf numFmtId="0" fontId="124" fillId="0" borderId="0" xfId="0" applyFont="1" applyAlignment="1">
      <alignment vertical="center"/>
    </xf>
    <xf numFmtId="0" fontId="0" fillId="0" borderId="184" xfId="0" applyBorder="1" applyAlignment="1">
      <alignment vertical="center"/>
    </xf>
    <xf numFmtId="0" fontId="75" fillId="0" borderId="5" xfId="0" applyFont="1" applyBorder="1" applyAlignment="1">
      <alignment horizontal="right" vertical="center"/>
    </xf>
    <xf numFmtId="0" fontId="70" fillId="0" borderId="10" xfId="0" applyFont="1" applyBorder="1" applyAlignment="1">
      <alignment horizontal="center" vertical="center"/>
    </xf>
    <xf numFmtId="0" fontId="75" fillId="0" borderId="5" xfId="0" applyFont="1" applyBorder="1" applyAlignment="1">
      <alignment vertical="center"/>
    </xf>
    <xf numFmtId="0" fontId="12" fillId="0" borderId="54" xfId="0" applyFont="1" applyBorder="1" applyAlignment="1">
      <alignment vertical="center"/>
    </xf>
    <xf numFmtId="0" fontId="0" fillId="0" borderId="10" xfId="0" applyBorder="1" applyAlignment="1">
      <alignment vertical="center"/>
    </xf>
    <xf numFmtId="0" fontId="70" fillId="0" borderId="16" xfId="0" applyFont="1" applyBorder="1" applyAlignment="1">
      <alignment horizontal="center" vertical="center"/>
    </xf>
    <xf numFmtId="0" fontId="12" fillId="0" borderId="5" xfId="0" applyFont="1" applyBorder="1"/>
    <xf numFmtId="0" fontId="70" fillId="0" borderId="42" xfId="0" applyFont="1" applyBorder="1" applyAlignment="1">
      <alignment horizontal="right" vertical="center"/>
    </xf>
    <xf numFmtId="0" fontId="70" fillId="0" borderId="8" xfId="0" applyFont="1" applyBorder="1" applyAlignment="1">
      <alignment horizontal="center" vertical="center"/>
    </xf>
    <xf numFmtId="0" fontId="76" fillId="0" borderId="8" xfId="0" applyFont="1" applyBorder="1" applyAlignment="1">
      <alignment vertical="center"/>
    </xf>
    <xf numFmtId="0" fontId="70" fillId="0" borderId="11" xfId="0" applyFont="1" applyBorder="1" applyAlignment="1">
      <alignment horizontal="left" vertical="center"/>
    </xf>
    <xf numFmtId="0" fontId="70" fillId="0" borderId="8" xfId="0" applyFont="1" applyBorder="1" applyAlignment="1">
      <alignment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69" fillId="0" borderId="16" xfId="0" applyFont="1" applyBorder="1" applyAlignment="1">
      <alignment horizontal="left" vertical="center"/>
    </xf>
    <xf numFmtId="0" fontId="69" fillId="0" borderId="5" xfId="0" applyFont="1" applyBorder="1" applyAlignment="1">
      <alignment horizontal="left" vertical="center"/>
    </xf>
    <xf numFmtId="0" fontId="69" fillId="0" borderId="5" xfId="0" applyFont="1" applyBorder="1" applyAlignment="1">
      <alignment vertical="center"/>
    </xf>
    <xf numFmtId="0" fontId="3" fillId="0" borderId="16" xfId="0" applyFont="1" applyBorder="1" applyAlignment="1">
      <alignment vertical="center"/>
    </xf>
    <xf numFmtId="0" fontId="81" fillId="0" borderId="0" xfId="0" applyFont="1" applyAlignment="1">
      <alignment vertical="center"/>
    </xf>
    <xf numFmtId="49" fontId="3" fillId="0" borderId="0" xfId="0" applyNumberFormat="1"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9" fillId="0" borderId="0" xfId="0" applyFont="1" applyAlignment="1">
      <alignment vertical="top"/>
    </xf>
    <xf numFmtId="0" fontId="88" fillId="0" borderId="0" xfId="0" applyFont="1" applyAlignment="1">
      <alignment vertical="center" wrapText="1"/>
    </xf>
    <xf numFmtId="0" fontId="88" fillId="0" borderId="0" xfId="0" applyFont="1" applyAlignment="1">
      <alignment horizontal="center" vertical="center" wrapText="1"/>
    </xf>
    <xf numFmtId="0" fontId="36" fillId="0" borderId="0" xfId="0" applyFont="1" applyAlignment="1">
      <alignment horizontal="center" wrapText="1"/>
    </xf>
    <xf numFmtId="0" fontId="3" fillId="0" borderId="165" xfId="0" applyFont="1" applyBorder="1" applyAlignment="1">
      <alignment horizontal="left" vertical="center" wrapText="1"/>
    </xf>
    <xf numFmtId="0" fontId="68" fillId="0" borderId="0" xfId="0" applyFont="1" applyAlignment="1" applyProtection="1">
      <alignment horizontal="center" vertical="center"/>
      <protection locked="0"/>
    </xf>
    <xf numFmtId="0" fontId="36" fillId="0" borderId="0" xfId="0" applyFont="1" applyAlignment="1">
      <alignment horizontal="center" vertical="center" wrapText="1"/>
    </xf>
    <xf numFmtId="0" fontId="135" fillId="0" borderId="0" xfId="0" applyFont="1" applyAlignment="1">
      <alignment horizontal="center" vertical="center"/>
    </xf>
    <xf numFmtId="0" fontId="91" fillId="0" borderId="0" xfId="0" applyFont="1" applyAlignment="1">
      <alignment horizontal="center" vertical="center"/>
    </xf>
    <xf numFmtId="0" fontId="101" fillId="0" borderId="0" xfId="0" applyFont="1" applyAlignment="1">
      <alignment horizontal="center" vertical="center"/>
    </xf>
    <xf numFmtId="0" fontId="74" fillId="0" borderId="0" xfId="0" applyFont="1" applyAlignment="1">
      <alignment horizontal="center" vertical="center" wrapText="1"/>
    </xf>
    <xf numFmtId="49" fontId="74" fillId="0" borderId="0" xfId="0" applyNumberFormat="1" applyFont="1" applyAlignment="1">
      <alignment horizontal="center" vertical="center"/>
    </xf>
    <xf numFmtId="49" fontId="91" fillId="0" borderId="0" xfId="0" applyNumberFormat="1" applyFont="1" applyAlignment="1">
      <alignment horizontal="center" vertical="center"/>
    </xf>
    <xf numFmtId="49" fontId="96" fillId="0" borderId="0" xfId="0" applyNumberFormat="1" applyFont="1" applyAlignment="1">
      <alignment horizontal="center" vertical="center" wrapText="1"/>
    </xf>
    <xf numFmtId="2" fontId="9" fillId="0" borderId="32" xfId="0" applyNumberFormat="1" applyFont="1" applyBorder="1" applyAlignment="1">
      <alignment horizontal="center" vertical="center" wrapText="1"/>
    </xf>
    <xf numFmtId="0" fontId="9" fillId="0" borderId="42" xfId="0" applyFont="1" applyBorder="1" applyAlignment="1">
      <alignment vertical="center"/>
    </xf>
    <xf numFmtId="0" fontId="9" fillId="0" borderId="8" xfId="0" applyFont="1" applyBorder="1" applyAlignment="1">
      <alignment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4" xfId="0" applyFont="1" applyBorder="1" applyAlignment="1">
      <alignment horizontal="center" vertical="center" wrapText="1"/>
    </xf>
    <xf numFmtId="0" fontId="9" fillId="4" borderId="33" xfId="0" applyFont="1" applyFill="1" applyBorder="1" applyAlignment="1">
      <alignment horizontal="center" vertical="center" wrapText="1"/>
    </xf>
    <xf numFmtId="0" fontId="2" fillId="3" borderId="155" xfId="0" applyFont="1" applyFill="1" applyBorder="1" applyAlignment="1">
      <alignment horizontal="center" wrapText="1"/>
    </xf>
    <xf numFmtId="0" fontId="2" fillId="3" borderId="85" xfId="0" applyFont="1" applyFill="1" applyBorder="1" applyAlignment="1">
      <alignment horizontal="center" wrapText="1"/>
    </xf>
    <xf numFmtId="0" fontId="13" fillId="3" borderId="124" xfId="0" applyFont="1" applyFill="1" applyBorder="1" applyAlignment="1">
      <alignment vertical="center"/>
    </xf>
    <xf numFmtId="0" fontId="13" fillId="3" borderId="148" xfId="0" applyFont="1" applyFill="1" applyBorder="1" applyAlignment="1">
      <alignment vertical="center"/>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81" xfId="0" applyNumberFormat="1" applyFont="1" applyBorder="1" applyAlignment="1">
      <alignment horizontal="center" vertical="center" wrapText="1"/>
    </xf>
    <xf numFmtId="49" fontId="9" fillId="0" borderId="82" xfId="0" applyNumberFormat="1" applyFont="1" applyBorder="1" applyAlignment="1">
      <alignment horizontal="center" vertical="center" wrapText="1"/>
    </xf>
    <xf numFmtId="0" fontId="9" fillId="0" borderId="40" xfId="0" applyFont="1" applyBorder="1" applyAlignment="1">
      <alignment vertical="center"/>
    </xf>
    <xf numFmtId="0" fontId="9" fillId="0" borderId="24" xfId="0" applyFont="1" applyBorder="1" applyAlignment="1">
      <alignment horizontal="center" vertical="center"/>
    </xf>
    <xf numFmtId="0" fontId="11" fillId="0" borderId="0" xfId="0" applyFont="1" applyAlignment="1">
      <alignment vertical="center"/>
    </xf>
    <xf numFmtId="0" fontId="11" fillId="0" borderId="56" xfId="0" applyFont="1" applyBorder="1" applyAlignment="1">
      <alignment vertical="center"/>
    </xf>
    <xf numFmtId="0" fontId="9" fillId="0" borderId="4" xfId="0" applyFont="1" applyBorder="1" applyAlignment="1">
      <alignment horizontal="center" vertical="center"/>
    </xf>
    <xf numFmtId="0" fontId="9" fillId="0" borderId="45" xfId="0" applyFont="1" applyBorder="1" applyAlignment="1">
      <alignment horizontal="left" vertical="center"/>
    </xf>
    <xf numFmtId="0" fontId="9" fillId="0" borderId="45" xfId="0" applyFont="1" applyBorder="1" applyAlignment="1">
      <alignment horizontal="center" vertical="center"/>
    </xf>
    <xf numFmtId="0" fontId="9" fillId="0" borderId="129" xfId="0" applyFont="1" applyBorder="1" applyAlignment="1">
      <alignment horizontal="left" vertical="center"/>
    </xf>
    <xf numFmtId="0" fontId="70" fillId="0" borderId="45" xfId="0" applyFont="1" applyBorder="1" applyAlignment="1">
      <alignment horizontal="right" vertical="center"/>
    </xf>
    <xf numFmtId="0" fontId="70" fillId="0" borderId="45" xfId="0" applyFont="1" applyBorder="1" applyAlignment="1">
      <alignment horizontal="left" vertical="center"/>
    </xf>
    <xf numFmtId="0" fontId="70" fillId="0" borderId="45" xfId="0" applyFont="1" applyBorder="1" applyAlignment="1">
      <alignment vertical="center"/>
    </xf>
    <xf numFmtId="0" fontId="9" fillId="0" borderId="45" xfId="0" applyFont="1" applyBorder="1" applyAlignment="1">
      <alignment vertical="center" textRotation="90"/>
    </xf>
    <xf numFmtId="0" fontId="0" fillId="0" borderId="94" xfId="0" applyBorder="1" applyAlignment="1">
      <alignment vertical="center"/>
    </xf>
    <xf numFmtId="0" fontId="2" fillId="0" borderId="51" xfId="0" applyFont="1" applyBorder="1" applyAlignment="1">
      <alignment horizontal="center" vertical="center"/>
    </xf>
    <xf numFmtId="0" fontId="0" fillId="0" borderId="28" xfId="0" applyBorder="1" applyAlignment="1">
      <alignment vertical="center"/>
    </xf>
    <xf numFmtId="0" fontId="0" fillId="0" borderId="51" xfId="0" applyBorder="1" applyAlignment="1">
      <alignment vertical="center"/>
    </xf>
    <xf numFmtId="0" fontId="94" fillId="0" borderId="0" xfId="0" applyFont="1" applyAlignment="1">
      <alignment horizontal="right" vertical="center"/>
    </xf>
    <xf numFmtId="0" fontId="86" fillId="0" borderId="0" xfId="0" applyFont="1"/>
    <xf numFmtId="0" fontId="0" fillId="0" borderId="44" xfId="0" applyBorder="1" applyAlignment="1">
      <alignment vertical="center"/>
    </xf>
    <xf numFmtId="0" fontId="0" fillId="0" borderId="22" xfId="0" applyBorder="1" applyAlignment="1">
      <alignment vertical="center"/>
    </xf>
    <xf numFmtId="0" fontId="73" fillId="0" borderId="51" xfId="0" applyFont="1" applyBorder="1" applyAlignment="1">
      <alignment horizontal="left" vertical="top"/>
    </xf>
    <xf numFmtId="0" fontId="94" fillId="0" borderId="0" xfId="0" applyFont="1" applyAlignment="1">
      <alignment vertical="center"/>
    </xf>
    <xf numFmtId="0" fontId="16" fillId="0" borderId="54" xfId="0" applyFont="1" applyBorder="1" applyAlignment="1">
      <alignment vertical="center"/>
    </xf>
    <xf numFmtId="0" fontId="68" fillId="0" borderId="11" xfId="0" applyFont="1" applyBorder="1" applyAlignment="1" applyProtection="1">
      <alignment horizontal="center" vertical="center" wrapText="1"/>
      <protection locked="0"/>
    </xf>
    <xf numFmtId="0" fontId="16" fillId="0" borderId="89" xfId="0" applyFont="1" applyBorder="1" applyAlignment="1">
      <alignment horizontal="center" vertical="center" wrapText="1"/>
    </xf>
    <xf numFmtId="0" fontId="16" fillId="0" borderId="8" xfId="0" applyFont="1" applyBorder="1" applyAlignment="1">
      <alignment horizontal="center" vertical="center" wrapText="1"/>
    </xf>
    <xf numFmtId="0" fontId="2" fillId="6" borderId="58" xfId="0" applyFont="1" applyFill="1" applyBorder="1" applyAlignment="1">
      <alignment horizontal="center" vertical="center"/>
    </xf>
    <xf numFmtId="0" fontId="41" fillId="0" borderId="0" xfId="0" applyFont="1" applyAlignment="1">
      <alignment horizontal="left" vertical="center"/>
    </xf>
    <xf numFmtId="0" fontId="220" fillId="0" borderId="0" xfId="0" applyFont="1"/>
    <xf numFmtId="0" fontId="221" fillId="0" borderId="0" xfId="0" applyFont="1"/>
    <xf numFmtId="0" fontId="0" fillId="0" borderId="129" xfId="0" applyBorder="1"/>
    <xf numFmtId="0" fontId="0" fillId="0" borderId="45" xfId="0" applyBorder="1"/>
    <xf numFmtId="0" fontId="0" fillId="0" borderId="94" xfId="0" applyBorder="1"/>
    <xf numFmtId="0" fontId="0" fillId="0" borderId="51" xfId="0" applyBorder="1"/>
    <xf numFmtId="0" fontId="0" fillId="0" borderId="28" xfId="0" applyBorder="1"/>
    <xf numFmtId="0" fontId="0" fillId="0" borderId="44" xfId="0" applyBorder="1"/>
    <xf numFmtId="0" fontId="0" fillId="0" borderId="22" xfId="0" applyBorder="1"/>
    <xf numFmtId="0" fontId="222" fillId="0" borderId="129" xfId="0" applyFont="1" applyBorder="1" applyAlignment="1">
      <alignment vertical="center"/>
    </xf>
    <xf numFmtId="0" fontId="223" fillId="0" borderId="51" xfId="0" applyFont="1" applyBorder="1" applyAlignment="1">
      <alignment vertical="center"/>
    </xf>
    <xf numFmtId="0" fontId="2" fillId="4" borderId="8" xfId="0" applyFont="1" applyFill="1" applyBorder="1" applyAlignment="1">
      <alignment vertical="center"/>
    </xf>
    <xf numFmtId="0" fontId="16" fillId="0" borderId="54" xfId="0" applyFont="1" applyBorder="1" applyAlignment="1">
      <alignment vertical="center" wrapText="1"/>
    </xf>
    <xf numFmtId="0" fontId="68" fillId="0" borderId="12" xfId="0" applyFont="1" applyBorder="1" applyAlignment="1" applyProtection="1">
      <alignment horizontal="center" vertical="center" wrapText="1"/>
      <protection locked="0"/>
    </xf>
    <xf numFmtId="0" fontId="9" fillId="4" borderId="7" xfId="0" applyFont="1" applyFill="1" applyBorder="1" applyAlignment="1">
      <alignment horizontal="center" vertical="center" wrapText="1"/>
    </xf>
    <xf numFmtId="0" fontId="283" fillId="0" borderId="0" xfId="0" applyFont="1" applyAlignment="1">
      <alignment horizontal="left" vertical="center"/>
    </xf>
    <xf numFmtId="0" fontId="287" fillId="0" borderId="0" xfId="0" applyFont="1" applyAlignment="1">
      <alignment vertical="center"/>
    </xf>
    <xf numFmtId="0" fontId="16" fillId="0" borderId="97" xfId="0" applyFont="1" applyBorder="1" applyAlignment="1">
      <alignment vertical="center" wrapText="1"/>
    </xf>
    <xf numFmtId="0" fontId="3" fillId="0" borderId="0" xfId="0" applyFont="1" applyAlignment="1">
      <alignment horizontal="center" vertical="center" wrapText="1"/>
    </xf>
    <xf numFmtId="0" fontId="16" fillId="4" borderId="105" xfId="0" applyFont="1" applyFill="1" applyBorder="1" applyAlignment="1">
      <alignment wrapText="1"/>
    </xf>
    <xf numFmtId="0" fontId="16" fillId="0" borderId="120" xfId="0" applyFont="1" applyBorder="1" applyAlignment="1">
      <alignment horizontal="right" vertical="center" wrapText="1"/>
    </xf>
    <xf numFmtId="0" fontId="16" fillId="0" borderId="130" xfId="0" applyFont="1" applyBorder="1" applyAlignment="1">
      <alignment horizontal="center" vertical="center" wrapText="1"/>
    </xf>
    <xf numFmtId="0" fontId="3" fillId="2" borderId="0" xfId="0" applyFont="1" applyFill="1" applyAlignment="1">
      <alignment horizontal="left"/>
    </xf>
    <xf numFmtId="0" fontId="290" fillId="0" borderId="0" xfId="0" applyFont="1" applyAlignment="1">
      <alignment horizontal="left" vertical="center"/>
    </xf>
    <xf numFmtId="0" fontId="3" fillId="0" borderId="191" xfId="0" applyFont="1" applyBorder="1" applyAlignment="1" applyProtection="1">
      <alignment horizontal="center" vertical="center" textRotation="90"/>
      <protection hidden="1"/>
    </xf>
    <xf numFmtId="0" fontId="3" fillId="0" borderId="192" xfId="0" applyFont="1" applyBorder="1" applyAlignment="1" applyProtection="1">
      <alignment horizontal="center" vertical="center" textRotation="90" wrapText="1"/>
      <protection hidden="1"/>
    </xf>
    <xf numFmtId="0" fontId="0" fillId="0" borderId="190" xfId="0" applyBorder="1" applyAlignment="1">
      <alignment vertical="center"/>
    </xf>
    <xf numFmtId="0" fontId="22" fillId="0" borderId="193" xfId="0" applyFont="1" applyBorder="1" applyAlignment="1">
      <alignment vertical="center" wrapText="1"/>
    </xf>
    <xf numFmtId="0" fontId="2" fillId="4" borderId="194" xfId="0" applyFont="1" applyFill="1" applyBorder="1" applyAlignment="1">
      <alignment horizontal="center" vertical="center"/>
    </xf>
    <xf numFmtId="0" fontId="9" fillId="0" borderId="120" xfId="0" applyFont="1" applyBorder="1" applyAlignment="1">
      <alignment horizontal="center" vertical="center" wrapText="1"/>
    </xf>
    <xf numFmtId="0" fontId="134" fillId="0" borderId="64" xfId="0" applyFont="1" applyBorder="1" applyAlignment="1">
      <alignment horizontal="center" vertical="center"/>
    </xf>
    <xf numFmtId="0" fontId="292" fillId="0" borderId="0" xfId="0" applyFont="1"/>
    <xf numFmtId="0" fontId="93" fillId="0" borderId="16" xfId="0" applyFont="1" applyBorder="1" applyAlignment="1">
      <alignment horizontal="right" vertical="center"/>
    </xf>
    <xf numFmtId="0" fontId="12" fillId="0" borderId="16" xfId="0" applyFont="1" applyBorder="1"/>
    <xf numFmtId="0" fontId="9" fillId="0" borderId="3" xfId="0" applyFont="1" applyBorder="1" applyAlignment="1">
      <alignment horizontal="center" vertical="center"/>
    </xf>
    <xf numFmtId="0" fontId="9" fillId="0" borderId="3" xfId="0" applyFont="1" applyBorder="1" applyAlignment="1">
      <alignment horizontal="right" vertical="center"/>
    </xf>
    <xf numFmtId="0" fontId="70" fillId="0" borderId="21" xfId="0" applyFont="1" applyBorder="1" applyAlignment="1">
      <alignment horizontal="center" vertical="center"/>
    </xf>
    <xf numFmtId="0" fontId="70" fillId="0" borderId="3" xfId="0" applyFont="1" applyBorder="1" applyAlignment="1">
      <alignment horizontal="right" vertical="center"/>
    </xf>
    <xf numFmtId="0" fontId="70" fillId="0" borderId="16" xfId="0" applyFont="1" applyBorder="1" applyAlignment="1">
      <alignment vertical="center"/>
    </xf>
    <xf numFmtId="0" fontId="70" fillId="0" borderId="16" xfId="0" applyFont="1" applyBorder="1" applyAlignment="1">
      <alignment horizontal="right" vertical="center"/>
    </xf>
    <xf numFmtId="0" fontId="9" fillId="0" borderId="21" xfId="0" applyFont="1" applyBorder="1" applyAlignment="1">
      <alignment horizontal="center" vertical="center"/>
    </xf>
    <xf numFmtId="0" fontId="295" fillId="0" borderId="0" xfId="0" applyFont="1"/>
    <xf numFmtId="0" fontId="36" fillId="0" borderId="0" xfId="0" applyFont="1"/>
    <xf numFmtId="0" fontId="9" fillId="0" borderId="158" xfId="0" applyFont="1" applyBorder="1" applyAlignment="1">
      <alignment horizontal="center" vertical="center" wrapText="1"/>
    </xf>
    <xf numFmtId="0" fontId="9" fillId="0" borderId="141" xfId="0" applyFont="1" applyBorder="1" applyAlignment="1">
      <alignment horizontal="center" vertical="center" wrapText="1"/>
    </xf>
    <xf numFmtId="0" fontId="16" fillId="0" borderId="3" xfId="0" applyFont="1" applyBorder="1" applyAlignment="1">
      <alignment vertical="center" wrapText="1"/>
    </xf>
    <xf numFmtId="0" fontId="284" fillId="0" borderId="57" xfId="0" applyFont="1" applyBorder="1" applyAlignment="1" applyProtection="1">
      <alignment horizontal="center" vertical="center"/>
      <protection hidden="1"/>
    </xf>
    <xf numFmtId="0" fontId="6" fillId="0" borderId="142" xfId="0" applyFont="1" applyBorder="1" applyAlignment="1" applyProtection="1">
      <alignment horizontal="center" vertical="center" wrapText="1"/>
      <protection locked="0"/>
    </xf>
    <xf numFmtId="0" fontId="6" fillId="0" borderId="141" xfId="0" applyFont="1" applyBorder="1" applyAlignment="1" applyProtection="1">
      <alignment horizontal="center" vertical="center" wrapText="1"/>
      <protection locked="0"/>
    </xf>
    <xf numFmtId="0" fontId="59" fillId="0" borderId="135" xfId="0" applyFont="1" applyBorder="1" applyAlignment="1" applyProtection="1">
      <alignment horizontal="center" vertical="center" wrapText="1"/>
      <protection locked="0"/>
    </xf>
    <xf numFmtId="0" fontId="59" fillId="0" borderId="137" xfId="0" applyFont="1" applyBorder="1" applyAlignment="1" applyProtection="1">
      <alignment horizontal="center" vertical="center" wrapText="1"/>
      <protection locked="0"/>
    </xf>
    <xf numFmtId="0" fontId="16" fillId="0" borderId="111" xfId="0" applyFont="1" applyBorder="1" applyAlignment="1">
      <alignment vertical="center"/>
    </xf>
    <xf numFmtId="0" fontId="16" fillId="0" borderId="74" xfId="0" applyFont="1" applyBorder="1" applyAlignment="1">
      <alignment vertical="center"/>
    </xf>
    <xf numFmtId="0" fontId="16" fillId="0" borderId="43" xfId="0" applyFont="1" applyBorder="1" applyAlignment="1">
      <alignment vertical="center" wrapText="1"/>
    </xf>
    <xf numFmtId="0" fontId="16" fillId="0" borderId="44" xfId="0" applyFont="1" applyBorder="1" applyAlignment="1">
      <alignment vertical="center" wrapText="1"/>
    </xf>
    <xf numFmtId="0" fontId="16" fillId="0" borderId="138" xfId="0" applyFont="1" applyBorder="1" applyAlignment="1">
      <alignment horizontal="right" vertical="center" wrapText="1"/>
    </xf>
    <xf numFmtId="0" fontId="16" fillId="0" borderId="12" xfId="0" applyFont="1" applyBorder="1" applyAlignment="1">
      <alignment vertical="center" wrapText="1"/>
    </xf>
    <xf numFmtId="0" fontId="132" fillId="0" borderId="0" xfId="0" applyFont="1"/>
    <xf numFmtId="0" fontId="16" fillId="0" borderId="11" xfId="0" applyFont="1" applyBorder="1" applyAlignment="1">
      <alignment horizontal="right" vertical="center" wrapText="1"/>
    </xf>
    <xf numFmtId="0" fontId="2" fillId="4" borderId="22" xfId="0" applyFont="1" applyFill="1" applyBorder="1" applyAlignment="1">
      <alignment vertical="center" wrapText="1"/>
    </xf>
    <xf numFmtId="0" fontId="9" fillId="0" borderId="5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0" xfId="0" applyFont="1" applyAlignment="1">
      <alignment horizontal="center" vertical="top"/>
    </xf>
    <xf numFmtId="0" fontId="16" fillId="0" borderId="13" xfId="0" applyFont="1" applyBorder="1" applyAlignment="1">
      <alignment horizontal="center" vertical="center" wrapText="1"/>
    </xf>
    <xf numFmtId="0" fontId="16" fillId="0" borderId="74" xfId="0" applyFont="1" applyBorder="1" applyAlignment="1">
      <alignment vertical="center" wrapText="1"/>
    </xf>
    <xf numFmtId="0" fontId="16" fillId="0" borderId="8" xfId="0" applyFont="1" applyBorder="1" applyAlignment="1">
      <alignment horizontal="left" vertical="center"/>
    </xf>
    <xf numFmtId="0" fontId="9" fillId="0" borderId="28" xfId="0" applyFont="1" applyBorder="1" applyAlignment="1">
      <alignment vertical="center" wrapText="1"/>
    </xf>
    <xf numFmtId="0" fontId="9" fillId="0" borderId="28" xfId="0" applyFont="1" applyBorder="1" applyAlignment="1">
      <alignment horizontal="center" vertical="center" wrapText="1"/>
    </xf>
    <xf numFmtId="0" fontId="0" fillId="0" borderId="202" xfId="0" applyBorder="1" applyAlignment="1">
      <alignment vertical="center"/>
    </xf>
    <xf numFmtId="0" fontId="6" fillId="0" borderId="48"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15" fillId="20" borderId="3" xfId="0" applyFont="1" applyFill="1" applyBorder="1" applyAlignment="1" applyProtection="1">
      <alignment horizontal="left"/>
      <protection locked="0"/>
    </xf>
    <xf numFmtId="0" fontId="66" fillId="20" borderId="3" xfId="0" applyFont="1" applyFill="1" applyBorder="1" applyAlignment="1" applyProtection="1">
      <alignment vertical="center"/>
      <protection locked="0"/>
    </xf>
    <xf numFmtId="0" fontId="15" fillId="20" borderId="0" xfId="0" applyFont="1" applyFill="1" applyAlignment="1" applyProtection="1">
      <alignment horizontal="left"/>
      <protection locked="0"/>
    </xf>
    <xf numFmtId="0" fontId="66" fillId="20" borderId="0" xfId="0" applyFont="1" applyFill="1" applyAlignment="1" applyProtection="1">
      <alignment vertical="center"/>
      <protection locked="0"/>
    </xf>
    <xf numFmtId="0" fontId="91" fillId="20" borderId="3" xfId="0" applyFont="1" applyFill="1" applyBorder="1" applyAlignment="1" applyProtection="1">
      <alignment horizontal="left"/>
      <protection locked="0"/>
    </xf>
    <xf numFmtId="0" fontId="91" fillId="20" borderId="4" xfId="0" applyFont="1" applyFill="1" applyBorder="1" applyAlignment="1" applyProtection="1">
      <alignment horizontal="left"/>
      <protection locked="0"/>
    </xf>
    <xf numFmtId="170" fontId="12" fillId="20" borderId="23" xfId="0" applyNumberFormat="1" applyFont="1" applyFill="1" applyBorder="1" applyAlignment="1" applyProtection="1">
      <alignment horizontal="center"/>
      <protection locked="0"/>
    </xf>
    <xf numFmtId="187" fontId="91" fillId="20" borderId="85" xfId="0" applyNumberFormat="1" applyFont="1" applyFill="1" applyBorder="1" applyAlignment="1" applyProtection="1">
      <alignment horizontal="center" vertical="top"/>
      <protection locked="0"/>
    </xf>
    <xf numFmtId="164" fontId="2" fillId="20" borderId="1" xfId="0" applyNumberFormat="1" applyFont="1" applyFill="1" applyBorder="1" applyAlignment="1" applyProtection="1">
      <alignment horizontal="center" vertical="center"/>
      <protection locked="0"/>
    </xf>
    <xf numFmtId="0" fontId="2" fillId="20" borderId="1" xfId="0" applyFont="1" applyFill="1" applyBorder="1" applyAlignment="1" applyProtection="1">
      <alignment horizontal="center" vertical="center" wrapText="1"/>
      <protection locked="0"/>
    </xf>
    <xf numFmtId="170" fontId="97" fillId="20" borderId="31" xfId="0" applyNumberFormat="1" applyFont="1" applyFill="1" applyBorder="1" applyAlignment="1" applyProtection="1">
      <alignment horizontal="center" vertical="center"/>
      <protection locked="0"/>
    </xf>
    <xf numFmtId="180" fontId="97" fillId="20" borderId="1" xfId="0" applyNumberFormat="1" applyFont="1" applyFill="1" applyBorder="1" applyAlignment="1" applyProtection="1">
      <alignment horizontal="center" vertical="center"/>
      <protection locked="0"/>
    </xf>
    <xf numFmtId="171" fontId="97" fillId="20" borderId="7" xfId="0" applyNumberFormat="1" applyFont="1" applyFill="1" applyBorder="1" applyAlignment="1" applyProtection="1">
      <alignment horizontal="center" vertical="center"/>
      <protection locked="0"/>
    </xf>
    <xf numFmtId="170" fontId="97" fillId="20" borderId="2" xfId="0" applyNumberFormat="1" applyFont="1" applyFill="1" applyBorder="1" applyAlignment="1" applyProtection="1">
      <alignment horizontal="center" vertical="center"/>
      <protection locked="0"/>
    </xf>
    <xf numFmtId="170" fontId="97" fillId="20" borderId="1" xfId="0" applyNumberFormat="1" applyFont="1" applyFill="1" applyBorder="1" applyAlignment="1" applyProtection="1">
      <alignment horizontal="center" vertical="center"/>
      <protection locked="0"/>
    </xf>
    <xf numFmtId="174" fontId="89" fillId="20" borderId="1" xfId="0" applyNumberFormat="1" applyFont="1" applyFill="1" applyBorder="1" applyAlignment="1" applyProtection="1">
      <alignment horizontal="center" vertical="center"/>
      <protection locked="0"/>
    </xf>
    <xf numFmtId="170" fontId="89" fillId="20" borderId="1" xfId="0" applyNumberFormat="1" applyFont="1" applyFill="1" applyBorder="1" applyAlignment="1" applyProtection="1">
      <alignment horizontal="center" vertical="center"/>
      <protection locked="0"/>
    </xf>
    <xf numFmtId="170" fontId="45" fillId="20" borderId="1" xfId="0" applyNumberFormat="1" applyFont="1" applyFill="1" applyBorder="1" applyAlignment="1" applyProtection="1">
      <alignment horizontal="center" vertical="center"/>
      <protection locked="0"/>
    </xf>
    <xf numFmtId="170" fontId="12" fillId="21" borderId="18" xfId="0" applyNumberFormat="1" applyFont="1" applyFill="1" applyBorder="1" applyAlignment="1" applyProtection="1">
      <alignment horizontal="center" vertical="center"/>
      <protection locked="0"/>
    </xf>
    <xf numFmtId="178" fontId="19" fillId="21" borderId="18" xfId="0" applyNumberFormat="1" applyFont="1" applyFill="1" applyBorder="1" applyAlignment="1" applyProtection="1">
      <alignment horizontal="center" vertical="center"/>
      <protection locked="0"/>
    </xf>
    <xf numFmtId="0" fontId="2" fillId="21" borderId="18" xfId="0" applyFont="1" applyFill="1" applyBorder="1" applyAlignment="1" applyProtection="1">
      <alignment horizontal="center" vertical="center"/>
      <protection locked="0"/>
    </xf>
    <xf numFmtId="0" fontId="2" fillId="21" borderId="13" xfId="0" applyFont="1" applyFill="1" applyBorder="1" applyAlignment="1" applyProtection="1">
      <alignment horizontal="center" vertical="center"/>
      <protection locked="0"/>
    </xf>
    <xf numFmtId="0" fontId="2" fillId="21" borderId="77" xfId="0" applyFont="1" applyFill="1" applyBorder="1" applyAlignment="1" applyProtection="1">
      <alignment horizontal="center" vertical="center"/>
      <protection locked="0"/>
    </xf>
    <xf numFmtId="0" fontId="2" fillId="21" borderId="201" xfId="0" applyFont="1" applyFill="1" applyBorder="1" applyAlignment="1" applyProtection="1">
      <alignment horizontal="center" vertical="center"/>
      <protection locked="0"/>
    </xf>
    <xf numFmtId="0" fontId="9" fillId="0" borderId="23" xfId="0" applyFont="1" applyBorder="1" applyAlignment="1">
      <alignment vertical="center" wrapText="1"/>
    </xf>
    <xf numFmtId="0" fontId="2" fillId="4" borderId="161" xfId="0" applyFont="1" applyFill="1" applyBorder="1" applyAlignment="1">
      <alignment vertical="center" wrapText="1"/>
    </xf>
    <xf numFmtId="0" fontId="2" fillId="4" borderId="162" xfId="0" applyFont="1" applyFill="1" applyBorder="1" applyAlignment="1">
      <alignment vertical="center" wrapText="1"/>
    </xf>
    <xf numFmtId="0" fontId="9" fillId="0" borderId="18" xfId="0" applyFont="1" applyBorder="1" applyAlignment="1">
      <alignment vertical="center" wrapText="1"/>
    </xf>
    <xf numFmtId="0" fontId="2" fillId="4" borderId="161" xfId="0" applyFont="1" applyFill="1" applyBorder="1" applyAlignment="1">
      <alignment vertical="center"/>
    </xf>
    <xf numFmtId="189" fontId="317" fillId="0" borderId="3" xfId="0" applyNumberFormat="1" applyFont="1" applyBorder="1" applyAlignment="1">
      <alignment vertical="center" wrapText="1"/>
    </xf>
    <xf numFmtId="194" fontId="52" fillId="0" borderId="16" xfId="0" applyNumberFormat="1" applyFont="1" applyBorder="1" applyAlignment="1">
      <alignment horizontal="right" vertical="center" wrapText="1"/>
    </xf>
    <xf numFmtId="194" fontId="52" fillId="0" borderId="5" xfId="0" applyNumberFormat="1" applyFont="1" applyBorder="1" applyAlignment="1">
      <alignment horizontal="center" vertical="center" wrapText="1"/>
    </xf>
    <xf numFmtId="194" fontId="52" fillId="0" borderId="5" xfId="0" applyNumberFormat="1" applyFont="1" applyBorder="1" applyAlignment="1">
      <alignment vertical="center" wrapText="1"/>
    </xf>
    <xf numFmtId="194" fontId="52" fillId="0" borderId="0" xfId="0" applyNumberFormat="1" applyFont="1" applyAlignment="1">
      <alignment horizontal="right" vertical="center" wrapText="1"/>
    </xf>
    <xf numFmtId="194" fontId="52" fillId="0" borderId="114" xfId="0" applyNumberFormat="1" applyFont="1" applyBorder="1" applyAlignment="1">
      <alignment vertical="center" wrapText="1"/>
    </xf>
    <xf numFmtId="194" fontId="52" fillId="0" borderId="9" xfId="0" applyNumberFormat="1" applyFont="1" applyBorder="1" applyAlignment="1">
      <alignment horizontal="right" vertical="center" wrapText="1"/>
    </xf>
    <xf numFmtId="195" fontId="52" fillId="0" borderId="16" xfId="0" applyNumberFormat="1" applyFont="1" applyBorder="1" applyAlignment="1">
      <alignment horizontal="center" vertical="center" wrapText="1"/>
    </xf>
    <xf numFmtId="196" fontId="52" fillId="0" borderId="16" xfId="0" applyNumberFormat="1" applyFont="1" applyBorder="1" applyAlignment="1">
      <alignment horizontal="right" vertical="center" wrapText="1"/>
    </xf>
    <xf numFmtId="170" fontId="16" fillId="0" borderId="10" xfId="0" applyNumberFormat="1" applyFont="1" applyBorder="1" applyAlignment="1">
      <alignment vertical="center" wrapText="1"/>
    </xf>
    <xf numFmtId="171" fontId="52" fillId="0" borderId="10" xfId="0" applyNumberFormat="1" applyFont="1" applyBorder="1" applyAlignment="1">
      <alignment horizontal="right" vertical="center" wrapText="1"/>
    </xf>
    <xf numFmtId="0" fontId="318" fillId="0" borderId="38" xfId="0" applyFont="1" applyBorder="1" applyAlignment="1">
      <alignment horizontal="right" vertical="center" wrapText="1"/>
    </xf>
    <xf numFmtId="0" fontId="2" fillId="0" borderId="24" xfId="0" applyFont="1" applyBorder="1" applyAlignment="1">
      <alignment horizontal="center" vertical="center"/>
    </xf>
    <xf numFmtId="165" fontId="9" fillId="0" borderId="33" xfId="0" applyNumberFormat="1" applyFont="1" applyBorder="1" applyAlignment="1">
      <alignment horizontal="center" vertical="center" wrapText="1"/>
    </xf>
    <xf numFmtId="165" fontId="9" fillId="0" borderId="34" xfId="0" applyNumberFormat="1" applyFont="1" applyBorder="1" applyAlignment="1">
      <alignment horizontal="center" vertical="center" wrapText="1"/>
    </xf>
    <xf numFmtId="0" fontId="45" fillId="0" borderId="64" xfId="0" applyFont="1" applyBorder="1" applyAlignment="1">
      <alignment horizontal="center" vertical="center"/>
    </xf>
    <xf numFmtId="0" fontId="40" fillId="0" borderId="16" xfId="0" applyFont="1" applyBorder="1" applyAlignment="1">
      <alignment horizontal="right" vertical="center"/>
    </xf>
    <xf numFmtId="0" fontId="40" fillId="0" borderId="5" xfId="0" applyFont="1" applyBorder="1" applyAlignment="1">
      <alignment horizontal="right" vertical="center"/>
    </xf>
    <xf numFmtId="0" fontId="160" fillId="0" borderId="160" xfId="0" applyFont="1" applyBorder="1" applyAlignment="1">
      <alignment vertical="center" wrapText="1"/>
    </xf>
    <xf numFmtId="0" fontId="160" fillId="0" borderId="50" xfId="0" applyFont="1" applyBorder="1" applyAlignment="1">
      <alignment vertical="center" wrapText="1"/>
    </xf>
    <xf numFmtId="0" fontId="160" fillId="0" borderId="160" xfId="0" applyFont="1" applyBorder="1" applyAlignment="1">
      <alignment vertical="center"/>
    </xf>
    <xf numFmtId="0" fontId="0" fillId="0" borderId="18" xfId="0" applyBorder="1" applyAlignment="1">
      <alignment horizontal="center"/>
    </xf>
    <xf numFmtId="0" fontId="0" fillId="0" borderId="107" xfId="0" applyBorder="1" applyAlignment="1">
      <alignment horizontal="center"/>
    </xf>
    <xf numFmtId="0" fontId="0" fillId="0" borderId="13" xfId="0" applyBorder="1" applyAlignment="1">
      <alignment horizontal="center"/>
    </xf>
    <xf numFmtId="0" fontId="0" fillId="0" borderId="23" xfId="0" applyBorder="1" applyAlignment="1">
      <alignment horizontal="center"/>
    </xf>
    <xf numFmtId="0" fontId="0" fillId="0" borderId="107" xfId="0" applyBorder="1"/>
    <xf numFmtId="0" fontId="0" fillId="0" borderId="144" xfId="0" applyBorder="1"/>
    <xf numFmtId="0" fontId="0" fillId="0" borderId="18" xfId="0" applyBorder="1"/>
    <xf numFmtId="0" fontId="1" fillId="0" borderId="18" xfId="0" applyFont="1" applyBorder="1" applyAlignment="1">
      <alignment horizontal="center"/>
    </xf>
    <xf numFmtId="0" fontId="0" fillId="0" borderId="85" xfId="0" applyBorder="1"/>
    <xf numFmtId="0" fontId="0" fillId="0" borderId="43" xfId="0" applyBorder="1" applyAlignment="1">
      <alignment horizontal="left" indent="1"/>
    </xf>
    <xf numFmtId="0" fontId="0" fillId="0" borderId="54" xfId="0" applyBorder="1" applyAlignment="1">
      <alignment horizontal="left" indent="1"/>
    </xf>
    <xf numFmtId="0" fontId="0" fillId="0" borderId="42" xfId="0" applyBorder="1" applyAlignment="1">
      <alignment horizontal="left" indent="1"/>
    </xf>
    <xf numFmtId="0" fontId="0" fillId="0" borderId="51" xfId="0" applyBorder="1" applyAlignment="1">
      <alignment horizontal="left" indent="1"/>
    </xf>
    <xf numFmtId="0" fontId="0" fillId="0" borderId="44" xfId="0" applyBorder="1" applyAlignment="1">
      <alignment horizontal="left" indent="1"/>
    </xf>
    <xf numFmtId="0" fontId="0" fillId="0" borderId="16" xfId="0" applyBorder="1" applyAlignment="1">
      <alignment horizontal="left" indent="1"/>
    </xf>
    <xf numFmtId="0" fontId="0" fillId="0" borderId="5" xfId="0" applyBorder="1" applyAlignment="1">
      <alignment horizontal="left" indent="1"/>
    </xf>
    <xf numFmtId="0" fontId="0" fillId="0" borderId="24" xfId="0" applyBorder="1" applyAlignment="1">
      <alignment horizontal="left" indent="1"/>
    </xf>
    <xf numFmtId="0" fontId="44" fillId="24" borderId="161" xfId="0" applyFont="1" applyFill="1" applyBorder="1" applyAlignment="1">
      <alignment vertical="center"/>
    </xf>
    <xf numFmtId="0" fontId="44" fillId="24" borderId="162" xfId="0" applyFont="1" applyFill="1" applyBorder="1" applyAlignment="1">
      <alignment vertical="center"/>
    </xf>
    <xf numFmtId="0" fontId="44" fillId="24" borderId="203" xfId="0" applyFont="1" applyFill="1" applyBorder="1" applyAlignment="1">
      <alignment vertical="center"/>
    </xf>
    <xf numFmtId="0" fontId="44" fillId="24" borderId="204" xfId="0" applyFont="1" applyFill="1" applyBorder="1" applyAlignment="1">
      <alignment vertical="center"/>
    </xf>
    <xf numFmtId="0" fontId="314" fillId="0" borderId="45" xfId="0" applyFont="1" applyBorder="1"/>
    <xf numFmtId="0" fontId="314" fillId="0" borderId="136" xfId="0" applyFont="1" applyBorder="1"/>
    <xf numFmtId="0" fontId="53" fillId="0" borderId="45" xfId="0" applyFont="1" applyBorder="1" applyAlignment="1">
      <alignment vertical="center"/>
    </xf>
    <xf numFmtId="0" fontId="9" fillId="0" borderId="16" xfId="0" applyFont="1" applyBorder="1" applyAlignment="1">
      <alignment horizontal="center" vertical="center"/>
    </xf>
    <xf numFmtId="0" fontId="9" fillId="0" borderId="8" xfId="0" applyFont="1" applyBorder="1" applyAlignment="1">
      <alignment horizontal="center" vertical="center"/>
    </xf>
    <xf numFmtId="0" fontId="0" fillId="0" borderId="69" xfId="0" applyBorder="1" applyAlignment="1">
      <alignment horizontal="center" vertical="center"/>
    </xf>
    <xf numFmtId="0" fontId="9" fillId="0" borderId="72" xfId="0" applyFont="1" applyBorder="1" applyAlignment="1">
      <alignment horizontal="center" vertical="center" wrapText="1"/>
    </xf>
    <xf numFmtId="0" fontId="2" fillId="4" borderId="209" xfId="0" applyFont="1" applyFill="1" applyBorder="1" applyAlignment="1">
      <alignment vertical="center" wrapText="1"/>
    </xf>
    <xf numFmtId="0" fontId="9" fillId="4" borderId="203" xfId="0" applyFont="1" applyFill="1" applyBorder="1" applyAlignment="1">
      <alignment horizontal="center" wrapText="1"/>
    </xf>
    <xf numFmtId="0" fontId="9" fillId="4" borderId="204" xfId="0" applyFont="1" applyFill="1" applyBorder="1" applyAlignment="1">
      <alignment horizontal="center" wrapText="1"/>
    </xf>
    <xf numFmtId="0" fontId="9" fillId="4" borderId="205" xfId="0" applyFont="1" applyFill="1" applyBorder="1" applyAlignment="1">
      <alignment horizontal="center" wrapText="1"/>
    </xf>
    <xf numFmtId="0" fontId="2" fillId="4" borderId="207" xfId="0" applyFont="1" applyFill="1" applyBorder="1" applyAlignment="1">
      <alignment horizontal="center" vertical="center"/>
    </xf>
    <xf numFmtId="165" fontId="3" fillId="0" borderId="0" xfId="0" applyNumberFormat="1" applyFont="1" applyAlignment="1">
      <alignment horizontal="center" vertical="center"/>
    </xf>
    <xf numFmtId="0" fontId="9" fillId="0" borderId="14" xfId="0" applyFont="1" applyBorder="1" applyAlignment="1">
      <alignment vertical="center"/>
    </xf>
    <xf numFmtId="0" fontId="1" fillId="0" borderId="5" xfId="0" applyFont="1" applyBorder="1" applyAlignment="1">
      <alignment vertical="center"/>
    </xf>
    <xf numFmtId="0" fontId="9" fillId="0" borderId="10" xfId="0" applyFont="1" applyBorder="1" applyAlignment="1">
      <alignment vertical="center"/>
    </xf>
    <xf numFmtId="0" fontId="9" fillId="0" borderId="9" xfId="0" applyFont="1" applyBorder="1" applyAlignment="1">
      <alignment vertical="center"/>
    </xf>
    <xf numFmtId="0" fontId="1" fillId="0" borderId="8" xfId="0" applyFont="1" applyBorder="1" applyAlignment="1">
      <alignment vertical="center"/>
    </xf>
    <xf numFmtId="0" fontId="313" fillId="0" borderId="8" xfId="0" applyFont="1" applyBorder="1" applyAlignment="1">
      <alignment horizontal="right" vertical="center"/>
    </xf>
    <xf numFmtId="0" fontId="2" fillId="24" borderId="161" xfId="0" applyFont="1" applyFill="1" applyBorder="1" applyAlignment="1">
      <alignment vertical="center"/>
    </xf>
    <xf numFmtId="0" fontId="43" fillId="24" borderId="161" xfId="0" applyFont="1" applyFill="1" applyBorder="1" applyAlignment="1">
      <alignment vertical="center"/>
    </xf>
    <xf numFmtId="0" fontId="43" fillId="24" borderId="162" xfId="0" applyFont="1" applyFill="1" applyBorder="1" applyAlignment="1">
      <alignment vertical="center"/>
    </xf>
    <xf numFmtId="49" fontId="9" fillId="0" borderId="210" xfId="0" applyNumberFormat="1" applyFont="1" applyBorder="1" applyAlignment="1">
      <alignment horizontal="center" vertical="center" wrapText="1"/>
    </xf>
    <xf numFmtId="0" fontId="4" fillId="0" borderId="24" xfId="0" applyFont="1" applyBorder="1"/>
    <xf numFmtId="0" fontId="338" fillId="0" borderId="0" xfId="0" applyFont="1" applyAlignment="1">
      <alignment vertical="center"/>
    </xf>
    <xf numFmtId="0" fontId="2" fillId="24" borderId="102" xfId="0" applyFont="1" applyFill="1" applyBorder="1" applyAlignment="1">
      <alignment horizontal="center" vertical="center"/>
    </xf>
    <xf numFmtId="0" fontId="2" fillId="24" borderId="24" xfId="0" applyFont="1" applyFill="1" applyBorder="1" applyAlignment="1">
      <alignment vertical="center"/>
    </xf>
    <xf numFmtId="0" fontId="0" fillId="24" borderId="24" xfId="0" applyFill="1" applyBorder="1" applyAlignment="1">
      <alignment vertical="center"/>
    </xf>
    <xf numFmtId="0" fontId="0" fillId="0" borderId="3" xfId="0" applyBorder="1" applyAlignment="1">
      <alignment vertical="center"/>
    </xf>
    <xf numFmtId="0" fontId="3" fillId="0" borderId="3" xfId="0" applyFont="1" applyBorder="1" applyAlignment="1">
      <alignment horizontal="center" vertical="center"/>
    </xf>
    <xf numFmtId="0" fontId="0" fillId="0" borderId="76" xfId="0" applyBorder="1" applyAlignment="1">
      <alignment vertical="center"/>
    </xf>
    <xf numFmtId="0" fontId="9" fillId="0" borderId="5" xfId="0" applyFont="1" applyBorder="1"/>
    <xf numFmtId="0" fontId="9" fillId="0" borderId="77" xfId="0" applyFont="1" applyBorder="1" applyAlignment="1">
      <alignment horizontal="center" vertical="center"/>
    </xf>
    <xf numFmtId="0" fontId="9" fillId="0" borderId="77" xfId="0" applyFont="1" applyBorder="1" applyAlignment="1">
      <alignment horizontal="center" wrapText="1"/>
    </xf>
    <xf numFmtId="0" fontId="9" fillId="0" borderId="72" xfId="0" applyFont="1" applyBorder="1" applyAlignment="1">
      <alignment vertical="center"/>
    </xf>
    <xf numFmtId="0" fontId="9" fillId="0" borderId="72" xfId="0" applyFont="1" applyBorder="1" applyAlignment="1">
      <alignment vertical="center" wrapText="1"/>
    </xf>
    <xf numFmtId="0" fontId="9" fillId="0" borderId="72" xfId="0" applyFont="1" applyBorder="1" applyAlignment="1" applyProtection="1">
      <alignment horizontal="center" vertical="center" wrapText="1"/>
      <protection locked="0"/>
    </xf>
    <xf numFmtId="0" fontId="6" fillId="0" borderId="72" xfId="0" applyFont="1" applyBorder="1" applyAlignment="1" applyProtection="1">
      <alignment horizontal="center" vertical="center"/>
      <protection locked="0"/>
    </xf>
    <xf numFmtId="0" fontId="9" fillId="0" borderId="66" xfId="0" applyFont="1" applyBorder="1" applyAlignment="1">
      <alignment vertical="center"/>
    </xf>
    <xf numFmtId="0" fontId="9" fillId="0" borderId="66" xfId="0" applyFont="1" applyBorder="1"/>
    <xf numFmtId="0" fontId="9" fillId="0" borderId="78" xfId="0" applyFont="1" applyBorder="1" applyAlignment="1">
      <alignment horizontal="center" vertical="center"/>
    </xf>
    <xf numFmtId="0" fontId="0" fillId="0" borderId="211" xfId="0" applyBorder="1" applyAlignment="1">
      <alignment vertical="center"/>
    </xf>
    <xf numFmtId="0" fontId="0" fillId="0" borderId="37" xfId="0" applyBorder="1" applyAlignment="1">
      <alignment vertical="center"/>
    </xf>
    <xf numFmtId="0" fontId="0" fillId="0" borderId="210" xfId="0" applyBorder="1" applyAlignment="1">
      <alignment vertical="center"/>
    </xf>
    <xf numFmtId="0" fontId="12" fillId="0" borderId="210" xfId="0" applyFont="1" applyBorder="1" applyAlignment="1">
      <alignment horizontal="center" vertical="center" wrapText="1"/>
    </xf>
    <xf numFmtId="0" fontId="134" fillId="0" borderId="28" xfId="0" applyFont="1" applyBorder="1" applyAlignment="1">
      <alignment horizontal="center" vertical="center"/>
    </xf>
    <xf numFmtId="0" fontId="0" fillId="0" borderId="49" xfId="0" applyBorder="1" applyAlignment="1">
      <alignment vertical="center"/>
    </xf>
    <xf numFmtId="0" fontId="146" fillId="0" borderId="70" xfId="0" applyFont="1" applyBorder="1" applyAlignment="1">
      <alignment horizontal="center" vertical="center" wrapText="1"/>
    </xf>
    <xf numFmtId="0" fontId="9" fillId="0" borderId="0" xfId="0" applyFont="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6" borderId="55" xfId="0" applyFont="1" applyFill="1" applyBorder="1" applyAlignment="1">
      <alignment horizontal="center" vertical="center"/>
    </xf>
    <xf numFmtId="0" fontId="0" fillId="20" borderId="0" xfId="0" applyFill="1" applyAlignment="1">
      <alignment vertical="center"/>
    </xf>
    <xf numFmtId="0" fontId="284" fillId="26" borderId="64" xfId="0" applyFont="1" applyFill="1" applyBorder="1" applyAlignment="1" applyProtection="1">
      <alignment horizontal="center" vertical="center"/>
      <protection hidden="1"/>
    </xf>
    <xf numFmtId="0" fontId="284" fillId="26" borderId="64" xfId="1" applyFont="1" applyFill="1" applyBorder="1" applyAlignment="1" applyProtection="1">
      <alignment horizontal="center" vertical="center"/>
      <protection hidden="1"/>
    </xf>
    <xf numFmtId="0" fontId="284" fillId="26" borderId="70" xfId="0" applyFont="1" applyFill="1" applyBorder="1" applyAlignment="1" applyProtection="1">
      <alignment horizontal="center" vertical="center"/>
      <protection hidden="1"/>
    </xf>
    <xf numFmtId="0" fontId="337" fillId="26" borderId="208" xfId="0" applyFont="1" applyFill="1" applyBorder="1" applyAlignment="1" applyProtection="1">
      <alignment horizontal="center" vertical="center"/>
      <protection hidden="1"/>
    </xf>
    <xf numFmtId="0" fontId="336" fillId="26" borderId="64" xfId="0" applyFont="1" applyFill="1" applyBorder="1" applyAlignment="1">
      <alignment horizontal="center" vertical="center" wrapText="1"/>
    </xf>
    <xf numFmtId="0" fontId="327" fillId="26" borderId="64" xfId="0" applyFont="1" applyFill="1" applyBorder="1" applyAlignment="1">
      <alignment horizontal="center" vertical="center"/>
    </xf>
    <xf numFmtId="0" fontId="327" fillId="26" borderId="70" xfId="0" applyFont="1" applyFill="1" applyBorder="1" applyAlignment="1">
      <alignment horizontal="center" vertical="center"/>
    </xf>
    <xf numFmtId="0" fontId="313" fillId="26" borderId="16" xfId="0" applyFont="1" applyFill="1" applyBorder="1" applyAlignment="1">
      <alignment horizontal="right" vertical="center"/>
    </xf>
    <xf numFmtId="0" fontId="313" fillId="26" borderId="5" xfId="0" applyFont="1" applyFill="1" applyBorder="1" applyAlignment="1">
      <alignment horizontal="right" vertical="center"/>
    </xf>
    <xf numFmtId="171" fontId="313" fillId="26" borderId="18" xfId="0" applyNumberFormat="1" applyFont="1" applyFill="1" applyBorder="1" applyAlignment="1">
      <alignment horizontal="left" vertical="center"/>
    </xf>
    <xf numFmtId="189" fontId="313" fillId="26" borderId="13" xfId="0" applyNumberFormat="1" applyFont="1" applyFill="1" applyBorder="1" applyAlignment="1">
      <alignment horizontal="left" vertical="center"/>
    </xf>
    <xf numFmtId="192" fontId="336" fillId="26" borderId="23" xfId="0" applyNumberFormat="1" applyFont="1" applyFill="1" applyBorder="1" applyAlignment="1">
      <alignment horizontal="left" vertical="center"/>
    </xf>
    <xf numFmtId="197" fontId="75" fillId="26" borderId="5" xfId="0" applyNumberFormat="1" applyFont="1" applyFill="1" applyBorder="1" applyAlignment="1" applyProtection="1">
      <alignment horizontal="right" vertical="center"/>
      <protection locked="0"/>
    </xf>
    <xf numFmtId="197" fontId="77" fillId="26" borderId="112" xfId="0" applyNumberFormat="1" applyFont="1" applyFill="1" applyBorder="1" applyAlignment="1" applyProtection="1">
      <alignment horizontal="center" vertical="center"/>
      <protection locked="0"/>
    </xf>
    <xf numFmtId="197" fontId="75" fillId="26" borderId="6" xfId="0" applyNumberFormat="1" applyFont="1" applyFill="1" applyBorder="1" applyAlignment="1" applyProtection="1">
      <alignment horizontal="left" vertical="center"/>
      <protection locked="0"/>
    </xf>
    <xf numFmtId="197" fontId="75" fillId="26" borderId="12" xfId="0" applyNumberFormat="1" applyFont="1" applyFill="1" applyBorder="1" applyAlignment="1" applyProtection="1">
      <alignment horizontal="left" vertical="center"/>
      <protection locked="0"/>
    </xf>
    <xf numFmtId="197" fontId="75" fillId="26" borderId="11" xfId="0" applyNumberFormat="1" applyFont="1" applyFill="1" applyBorder="1" applyAlignment="1" applyProtection="1">
      <alignment horizontal="left" vertical="center"/>
      <protection locked="0"/>
    </xf>
    <xf numFmtId="197" fontId="75" fillId="26" borderId="8" xfId="0" applyNumberFormat="1" applyFont="1" applyFill="1" applyBorder="1" applyAlignment="1" applyProtection="1">
      <alignment horizontal="right" vertical="center"/>
      <protection locked="0"/>
    </xf>
    <xf numFmtId="197" fontId="75" fillId="26" borderId="4" xfId="0" applyNumberFormat="1" applyFont="1" applyFill="1" applyBorder="1" applyAlignment="1">
      <alignment horizontal="left" vertical="center"/>
    </xf>
    <xf numFmtId="197" fontId="75" fillId="26" borderId="13" xfId="0" applyNumberFormat="1" applyFont="1" applyFill="1" applyBorder="1" applyAlignment="1" applyProtection="1">
      <alignment horizontal="left" vertical="center"/>
      <protection locked="0"/>
    </xf>
    <xf numFmtId="197" fontId="75" fillId="26" borderId="23" xfId="0" applyNumberFormat="1" applyFont="1" applyFill="1" applyBorder="1" applyAlignment="1" applyProtection="1">
      <alignment horizontal="left" vertical="center"/>
      <protection locked="0"/>
    </xf>
    <xf numFmtId="197" fontId="75" fillId="26" borderId="43" xfId="0" applyNumberFormat="1" applyFont="1" applyFill="1" applyBorder="1" applyAlignment="1" applyProtection="1">
      <alignment horizontal="right" vertical="center"/>
      <protection locked="0"/>
    </xf>
    <xf numFmtId="197" fontId="75" fillId="26" borderId="5" xfId="0" applyNumberFormat="1" applyFont="1" applyFill="1" applyBorder="1" applyAlignment="1" applyProtection="1">
      <alignment vertical="center"/>
      <protection locked="0"/>
    </xf>
    <xf numFmtId="197" fontId="75" fillId="26" borderId="18" xfId="0" applyNumberFormat="1" applyFont="1" applyFill="1" applyBorder="1" applyAlignment="1" applyProtection="1">
      <alignment horizontal="left" vertical="center"/>
      <protection locked="0"/>
    </xf>
    <xf numFmtId="0" fontId="6" fillId="26" borderId="12" xfId="0" applyFont="1" applyFill="1" applyBorder="1" applyAlignment="1" applyProtection="1">
      <alignment horizontal="center" vertical="center" wrapText="1"/>
      <protection locked="0"/>
    </xf>
    <xf numFmtId="0" fontId="328" fillId="26" borderId="64" xfId="0" applyFont="1" applyFill="1" applyBorder="1" applyAlignment="1" applyProtection="1">
      <alignment horizontal="center" vertical="center"/>
      <protection hidden="1"/>
    </xf>
    <xf numFmtId="0" fontId="328" fillId="26" borderId="64" xfId="1" applyFont="1" applyFill="1" applyBorder="1" applyAlignment="1" applyProtection="1">
      <alignment horizontal="center" vertical="center"/>
      <protection hidden="1"/>
    </xf>
    <xf numFmtId="0" fontId="328" fillId="26" borderId="58" xfId="0" applyFont="1" applyFill="1" applyBorder="1" applyAlignment="1" applyProtection="1">
      <alignment vertical="center"/>
      <protection hidden="1"/>
    </xf>
    <xf numFmtId="0" fontId="328" fillId="26" borderId="69" xfId="0" applyFont="1" applyFill="1" applyBorder="1" applyAlignment="1" applyProtection="1">
      <alignment horizontal="center" vertical="center"/>
      <protection hidden="1"/>
    </xf>
    <xf numFmtId="0" fontId="328" fillId="26" borderId="70" xfId="0" applyFont="1" applyFill="1" applyBorder="1" applyAlignment="1" applyProtection="1">
      <alignment horizontal="center" vertical="center"/>
      <protection hidden="1"/>
    </xf>
    <xf numFmtId="0" fontId="284" fillId="26" borderId="57" xfId="0" applyFont="1" applyFill="1" applyBorder="1" applyAlignment="1" applyProtection="1">
      <alignment horizontal="center" vertical="center"/>
      <protection hidden="1"/>
    </xf>
    <xf numFmtId="0" fontId="284" fillId="26" borderId="69" xfId="0" applyFont="1" applyFill="1" applyBorder="1" applyAlignment="1" applyProtection="1">
      <alignment horizontal="center" vertical="center"/>
      <protection hidden="1"/>
    </xf>
    <xf numFmtId="0" fontId="284" fillId="26" borderId="39" xfId="0" applyFont="1" applyFill="1" applyBorder="1" applyAlignment="1" applyProtection="1">
      <alignment horizontal="center" vertical="center"/>
      <protection hidden="1"/>
    </xf>
    <xf numFmtId="0" fontId="6" fillId="26" borderId="73" xfId="0" applyFont="1" applyFill="1" applyBorder="1" applyAlignment="1" applyProtection="1">
      <alignment horizontal="center" vertical="center" wrapText="1"/>
      <protection locked="0"/>
    </xf>
    <xf numFmtId="0" fontId="68" fillId="26" borderId="10" xfId="0" applyFont="1" applyFill="1" applyBorder="1" applyAlignment="1">
      <alignment horizontal="center" vertical="center" wrapText="1"/>
    </xf>
    <xf numFmtId="0" fontId="68" fillId="26" borderId="14" xfId="0" applyFont="1" applyFill="1" applyBorder="1" applyAlignment="1">
      <alignment horizontal="center" vertical="center" wrapText="1"/>
    </xf>
    <xf numFmtId="0" fontId="100" fillId="26" borderId="36" xfId="0" applyFont="1" applyFill="1" applyBorder="1" applyAlignment="1" applyProtection="1">
      <alignment horizontal="left" vertical="center"/>
      <protection locked="0"/>
    </xf>
    <xf numFmtId="164" fontId="100" fillId="26" borderId="34" xfId="0" applyNumberFormat="1" applyFont="1" applyFill="1" applyBorder="1" applyAlignment="1" applyProtection="1">
      <alignment horizontal="left" vertical="center"/>
      <protection locked="0"/>
    </xf>
    <xf numFmtId="0" fontId="100" fillId="26" borderId="33" xfId="0" applyFont="1" applyFill="1" applyBorder="1" applyAlignment="1" applyProtection="1">
      <alignment horizontal="left" vertical="center"/>
      <protection locked="0"/>
    </xf>
    <xf numFmtId="0" fontId="100" fillId="26" borderId="32" xfId="0" applyFont="1" applyFill="1" applyBorder="1" applyAlignment="1" applyProtection="1">
      <alignment horizontal="left" vertical="center"/>
      <protection locked="0"/>
    </xf>
    <xf numFmtId="0" fontId="100" fillId="26" borderId="8" xfId="0" applyFont="1" applyFill="1" applyBorder="1" applyAlignment="1" applyProtection="1">
      <alignment horizontal="left" vertical="center"/>
      <protection locked="0"/>
    </xf>
    <xf numFmtId="0" fontId="284" fillId="26" borderId="80" xfId="0" applyFont="1" applyFill="1" applyBorder="1" applyAlignment="1" applyProtection="1">
      <alignment horizontal="center" vertical="center"/>
      <protection hidden="1"/>
    </xf>
    <xf numFmtId="0" fontId="284" fillId="26" borderId="190" xfId="0" applyFont="1" applyFill="1" applyBorder="1" applyAlignment="1" applyProtection="1">
      <alignment horizontal="center" vertical="center"/>
      <protection hidden="1"/>
    </xf>
    <xf numFmtId="0" fontId="284" fillId="26" borderId="191" xfId="0" applyFont="1" applyFill="1" applyBorder="1" applyAlignment="1" applyProtection="1">
      <alignment horizontal="center" vertical="center"/>
      <protection hidden="1"/>
    </xf>
    <xf numFmtId="0" fontId="284" fillId="26" borderId="192" xfId="0" applyFont="1" applyFill="1" applyBorder="1" applyAlignment="1" applyProtection="1">
      <alignment horizontal="center" vertical="center"/>
      <protection hidden="1"/>
    </xf>
    <xf numFmtId="0" fontId="192" fillId="26" borderId="191" xfId="0" applyFont="1" applyFill="1" applyBorder="1" applyAlignment="1">
      <alignment horizontal="center" vertical="center"/>
    </xf>
    <xf numFmtId="0" fontId="6" fillId="26" borderId="127" xfId="0" applyFont="1" applyFill="1" applyBorder="1" applyAlignment="1" applyProtection="1">
      <alignment horizontal="center" vertical="center" wrapText="1"/>
      <protection locked="0"/>
    </xf>
    <xf numFmtId="0" fontId="6" fillId="26" borderId="132" xfId="0" applyFont="1" applyFill="1" applyBorder="1" applyAlignment="1" applyProtection="1">
      <alignment horizontal="center" vertical="center" wrapText="1"/>
      <protection locked="0"/>
    </xf>
    <xf numFmtId="0" fontId="6" fillId="26" borderId="30" xfId="0" applyFont="1" applyFill="1" applyBorder="1" applyAlignment="1" applyProtection="1">
      <alignment horizontal="center" vertical="center" wrapText="1"/>
      <protection locked="0"/>
    </xf>
    <xf numFmtId="0" fontId="6" fillId="26" borderId="99" xfId="0" applyFont="1" applyFill="1" applyBorder="1" applyAlignment="1" applyProtection="1">
      <alignment horizontal="center" vertical="center" wrapText="1"/>
      <protection locked="0"/>
    </xf>
    <xf numFmtId="0" fontId="6" fillId="26" borderId="120" xfId="0" applyFont="1" applyFill="1" applyBorder="1" applyAlignment="1" applyProtection="1">
      <alignment horizontal="center" vertical="center"/>
      <protection locked="0"/>
    </xf>
    <xf numFmtId="0" fontId="6" fillId="26" borderId="195" xfId="0" applyFont="1" applyFill="1" applyBorder="1" applyAlignment="1" applyProtection="1">
      <alignment horizontal="center" vertical="center"/>
      <protection locked="0"/>
    </xf>
    <xf numFmtId="0" fontId="6" fillId="26" borderId="196" xfId="0" applyFont="1" applyFill="1" applyBorder="1" applyAlignment="1" applyProtection="1">
      <alignment horizontal="center" vertical="center"/>
      <protection locked="0"/>
    </xf>
    <xf numFmtId="0" fontId="6" fillId="26" borderId="11" xfId="0" applyFont="1" applyFill="1" applyBorder="1" applyAlignment="1" applyProtection="1">
      <alignment horizontal="center" vertical="center"/>
      <protection locked="0"/>
    </xf>
    <xf numFmtId="0" fontId="6" fillId="26" borderId="96" xfId="0" applyFont="1" applyFill="1" applyBorder="1" applyAlignment="1" applyProtection="1">
      <alignment horizontal="center" vertical="center"/>
      <protection locked="0"/>
    </xf>
    <xf numFmtId="0" fontId="6" fillId="26" borderId="101" xfId="0" applyFont="1" applyFill="1" applyBorder="1" applyAlignment="1" applyProtection="1">
      <alignment horizontal="center" vertical="center"/>
      <protection locked="0"/>
    </xf>
    <xf numFmtId="0" fontId="68" fillId="26" borderId="19" xfId="0" applyFont="1" applyFill="1" applyBorder="1" applyAlignment="1" applyProtection="1">
      <alignment horizontal="center" vertical="center" wrapText="1"/>
      <protection locked="0"/>
    </xf>
    <xf numFmtId="0" fontId="68" fillId="26" borderId="120" xfId="0" applyFont="1" applyFill="1" applyBorder="1" applyAlignment="1" applyProtection="1">
      <alignment horizontal="center" vertical="center" wrapText="1"/>
      <protection locked="0"/>
    </xf>
    <xf numFmtId="0" fontId="68" fillId="26" borderId="11" xfId="0" applyFont="1" applyFill="1" applyBorder="1" applyAlignment="1" applyProtection="1">
      <alignment horizontal="center" vertical="center" wrapText="1"/>
      <protection locked="0"/>
    </xf>
    <xf numFmtId="0" fontId="68" fillId="26" borderId="4" xfId="0" applyFont="1" applyFill="1" applyBorder="1" applyAlignment="1" applyProtection="1">
      <alignment horizontal="left" vertical="center" wrapText="1"/>
      <protection locked="0"/>
    </xf>
    <xf numFmtId="0" fontId="68" fillId="26" borderId="13" xfId="0" applyFont="1" applyFill="1" applyBorder="1" applyAlignment="1" applyProtection="1">
      <alignment horizontal="left" vertical="center" wrapText="1"/>
      <protection locked="0"/>
    </xf>
    <xf numFmtId="0" fontId="68" fillId="26" borderId="23" xfId="0" applyFont="1" applyFill="1" applyBorder="1" applyAlignment="1" applyProtection="1">
      <alignment horizontal="left" vertical="center" wrapText="1"/>
      <protection locked="0"/>
    </xf>
    <xf numFmtId="170" fontId="68" fillId="26" borderId="4" xfId="0" applyNumberFormat="1" applyFont="1" applyFill="1" applyBorder="1" applyAlignment="1" applyProtection="1">
      <alignment horizontal="left" vertical="center" wrapText="1"/>
      <protection locked="0"/>
    </xf>
    <xf numFmtId="170" fontId="68" fillId="26" borderId="13" xfId="0" applyNumberFormat="1" applyFont="1" applyFill="1" applyBorder="1" applyAlignment="1" applyProtection="1">
      <alignment horizontal="left" vertical="center" wrapText="1"/>
      <protection locked="0"/>
    </xf>
    <xf numFmtId="170" fontId="68" fillId="26" borderId="23" xfId="0" applyNumberFormat="1" applyFont="1" applyFill="1" applyBorder="1" applyAlignment="1" applyProtection="1">
      <alignment horizontal="left" vertical="center" wrapText="1"/>
      <protection locked="0"/>
    </xf>
    <xf numFmtId="0" fontId="192" fillId="26" borderId="69" xfId="0" applyFont="1" applyFill="1" applyBorder="1" applyAlignment="1">
      <alignment horizontal="center" vertical="center"/>
    </xf>
    <xf numFmtId="0" fontId="192" fillId="26" borderId="64" xfId="0" applyFont="1" applyFill="1" applyBorder="1" applyAlignment="1">
      <alignment horizontal="center" vertical="center"/>
    </xf>
    <xf numFmtId="0" fontId="192" fillId="26" borderId="64" xfId="1" applyFont="1" applyFill="1" applyBorder="1" applyAlignment="1" applyProtection="1">
      <alignment horizontal="center" vertical="center"/>
    </xf>
    <xf numFmtId="0" fontId="192" fillId="26" borderId="65" xfId="0" applyFont="1" applyFill="1" applyBorder="1" applyAlignment="1">
      <alignment horizontal="center" vertical="center"/>
    </xf>
    <xf numFmtId="0" fontId="60" fillId="26" borderId="98" xfId="0" applyFont="1" applyFill="1" applyBorder="1" applyAlignment="1" applyProtection="1">
      <alignment horizontal="center" vertical="center"/>
      <protection locked="0"/>
    </xf>
    <xf numFmtId="0" fontId="308" fillId="26" borderId="99" xfId="0" applyFont="1" applyFill="1" applyBorder="1" applyAlignment="1" applyProtection="1">
      <alignment horizontal="center" vertical="center"/>
      <protection locked="0"/>
    </xf>
    <xf numFmtId="0" fontId="60" fillId="26" borderId="99" xfId="0" applyFont="1" applyFill="1" applyBorder="1" applyAlignment="1" applyProtection="1">
      <alignment horizontal="center" vertical="center"/>
      <protection locked="0"/>
    </xf>
    <xf numFmtId="0" fontId="60" fillId="26" borderId="100" xfId="0" applyFont="1" applyFill="1" applyBorder="1" applyAlignment="1" applyProtection="1">
      <alignment horizontal="center" vertical="center"/>
      <protection locked="0"/>
    </xf>
    <xf numFmtId="0" fontId="284" fillId="26" borderId="65" xfId="0" applyFont="1" applyFill="1" applyBorder="1" applyAlignment="1" applyProtection="1">
      <alignment horizontal="center" vertical="center"/>
      <protection hidden="1"/>
    </xf>
    <xf numFmtId="0" fontId="68" fillId="26" borderId="54" xfId="0" applyFont="1" applyFill="1" applyBorder="1" applyAlignment="1" applyProtection="1">
      <alignment horizontal="left" vertical="center"/>
      <protection locked="0"/>
    </xf>
    <xf numFmtId="0" fontId="9" fillId="26" borderId="13" xfId="0" applyFont="1" applyFill="1" applyBorder="1" applyAlignment="1">
      <alignment horizontal="left" vertical="center"/>
    </xf>
    <xf numFmtId="0" fontId="68" fillId="26" borderId="42" xfId="0" applyFont="1" applyFill="1" applyBorder="1" applyAlignment="1" applyProtection="1">
      <alignment horizontal="left" vertical="center"/>
      <protection locked="0"/>
    </xf>
    <xf numFmtId="0" fontId="9" fillId="26" borderId="23" xfId="0" applyFont="1" applyFill="1" applyBorder="1" applyAlignment="1">
      <alignment horizontal="left" vertical="center"/>
    </xf>
    <xf numFmtId="0" fontId="75" fillId="26" borderId="5" xfId="0" applyFont="1" applyFill="1" applyBorder="1" applyAlignment="1" applyProtection="1">
      <alignment horizontal="right" vertical="center"/>
      <protection locked="0"/>
    </xf>
    <xf numFmtId="0" fontId="75" fillId="26" borderId="6" xfId="0" applyFont="1" applyFill="1" applyBorder="1" applyAlignment="1" applyProtection="1">
      <alignment horizontal="left" vertical="center"/>
      <protection locked="0"/>
    </xf>
    <xf numFmtId="0" fontId="75" fillId="26" borderId="12" xfId="0" applyFont="1" applyFill="1" applyBorder="1" applyAlignment="1" applyProtection="1">
      <alignment horizontal="left" vertical="center"/>
      <protection locked="0"/>
    </xf>
    <xf numFmtId="0" fontId="75" fillId="26" borderId="11" xfId="0" applyFont="1" applyFill="1" applyBorder="1" applyAlignment="1" applyProtection="1">
      <alignment horizontal="left" vertical="center"/>
      <protection locked="0"/>
    </xf>
    <xf numFmtId="0" fontId="75" fillId="26" borderId="8" xfId="0" applyFont="1" applyFill="1" applyBorder="1" applyAlignment="1" applyProtection="1">
      <alignment horizontal="right" vertical="center"/>
      <protection locked="0"/>
    </xf>
    <xf numFmtId="0" fontId="75" fillId="26" borderId="13" xfId="0" applyFont="1" applyFill="1" applyBorder="1" applyAlignment="1" applyProtection="1">
      <alignment horizontal="left" vertical="center"/>
      <protection locked="0"/>
    </xf>
    <xf numFmtId="0" fontId="75" fillId="26" borderId="23" xfId="0" applyFont="1" applyFill="1" applyBorder="1" applyAlignment="1" applyProtection="1">
      <alignment horizontal="left" vertical="center"/>
      <protection locked="0"/>
    </xf>
    <xf numFmtId="0" fontId="75" fillId="26" borderId="4" xfId="0" applyFont="1" applyFill="1" applyBorder="1" applyAlignment="1">
      <alignment horizontal="left" vertical="center"/>
    </xf>
    <xf numFmtId="0" fontId="75" fillId="26" borderId="43" xfId="0" applyFont="1" applyFill="1" applyBorder="1" applyAlignment="1" applyProtection="1">
      <alignment horizontal="right" vertical="center"/>
      <protection locked="0"/>
    </xf>
    <xf numFmtId="0" fontId="75" fillId="26" borderId="5" xfId="0" applyFont="1" applyFill="1" applyBorder="1" applyAlignment="1" applyProtection="1">
      <alignment vertical="center"/>
      <protection locked="0"/>
    </xf>
    <xf numFmtId="0" fontId="75" fillId="26" borderId="18" xfId="0" applyFont="1" applyFill="1" applyBorder="1" applyAlignment="1" applyProtection="1">
      <alignment horizontal="left" vertical="center"/>
      <protection locked="0"/>
    </xf>
    <xf numFmtId="0" fontId="68" fillId="26" borderId="43" xfId="0" applyFont="1" applyFill="1" applyBorder="1" applyAlignment="1" applyProtection="1">
      <alignment horizontal="right" vertical="center"/>
      <protection locked="0"/>
    </xf>
    <xf numFmtId="0" fontId="68" fillId="26" borderId="54" xfId="0" applyFont="1" applyFill="1" applyBorder="1" applyAlignment="1" applyProtection="1">
      <alignment horizontal="right" vertical="center"/>
      <protection locked="0"/>
    </xf>
    <xf numFmtId="169" fontId="68" fillId="26" borderId="119" xfId="0" applyNumberFormat="1" applyFont="1" applyFill="1" applyBorder="1" applyAlignment="1" applyProtection="1">
      <alignment horizontal="right" vertical="center"/>
      <protection locked="0"/>
    </xf>
    <xf numFmtId="171" fontId="92" fillId="26" borderId="13" xfId="0" applyNumberFormat="1" applyFont="1" applyFill="1" applyBorder="1" applyAlignment="1" applyProtection="1">
      <alignment horizontal="left" vertical="center" wrapText="1"/>
      <protection locked="0"/>
    </xf>
    <xf numFmtId="171" fontId="92" fillId="26" borderId="139" xfId="0" applyNumberFormat="1" applyFont="1" applyFill="1" applyBorder="1" applyAlignment="1" applyProtection="1">
      <alignment horizontal="left" vertical="center" wrapText="1"/>
      <protection locked="0"/>
    </xf>
    <xf numFmtId="171" fontId="92" fillId="26" borderId="67" xfId="0" applyNumberFormat="1" applyFont="1" applyFill="1" applyBorder="1" applyAlignment="1" applyProtection="1">
      <alignment horizontal="left" vertical="center" wrapText="1"/>
      <protection locked="0"/>
    </xf>
    <xf numFmtId="0" fontId="286" fillId="26" borderId="64" xfId="1" applyFont="1" applyFill="1" applyBorder="1" applyAlignment="1" applyProtection="1">
      <alignment horizontal="center" vertical="center"/>
      <protection hidden="1"/>
    </xf>
    <xf numFmtId="0" fontId="286" fillId="26" borderId="57" xfId="1" applyFont="1" applyFill="1" applyBorder="1" applyAlignment="1" applyProtection="1">
      <alignment horizontal="center" vertical="center"/>
      <protection hidden="1"/>
    </xf>
    <xf numFmtId="178" fontId="92" fillId="26" borderId="4" xfId="0" applyNumberFormat="1" applyFont="1" applyFill="1" applyBorder="1" applyAlignment="1" applyProtection="1">
      <alignment horizontal="left" vertical="center" wrapText="1"/>
      <protection locked="0"/>
    </xf>
    <xf numFmtId="196" fontId="92" fillId="26" borderId="18" xfId="0" applyNumberFormat="1" applyFont="1" applyFill="1" applyBorder="1" applyAlignment="1" applyProtection="1">
      <alignment horizontal="left" vertical="center" wrapText="1"/>
      <protection locked="0"/>
    </xf>
    <xf numFmtId="194" fontId="92" fillId="26" borderId="13" xfId="0" applyNumberFormat="1" applyFont="1" applyFill="1" applyBorder="1" applyAlignment="1" applyProtection="1">
      <alignment horizontal="left" vertical="center" wrapText="1"/>
      <protection locked="0"/>
    </xf>
    <xf numFmtId="194" fontId="92" fillId="26" borderId="139" xfId="0" applyNumberFormat="1" applyFont="1" applyFill="1" applyBorder="1" applyAlignment="1" applyProtection="1">
      <alignment horizontal="left" vertical="center" wrapText="1"/>
      <protection locked="0"/>
    </xf>
    <xf numFmtId="0" fontId="336" fillId="26" borderId="64" xfId="0" applyFont="1" applyFill="1" applyBorder="1" applyAlignment="1">
      <alignment horizontal="center" vertical="center"/>
    </xf>
    <xf numFmtId="0" fontId="337" fillId="26" borderId="64" xfId="0" applyFont="1" applyFill="1" applyBorder="1" applyAlignment="1" applyProtection="1">
      <alignment horizontal="center" vertical="center"/>
      <protection hidden="1"/>
    </xf>
    <xf numFmtId="0" fontId="337" fillId="26" borderId="64" xfId="1" applyFont="1" applyFill="1" applyBorder="1" applyAlignment="1" applyProtection="1">
      <alignment horizontal="center" vertical="center"/>
      <protection hidden="1"/>
    </xf>
    <xf numFmtId="0" fontId="337" fillId="26" borderId="70" xfId="0" applyFont="1" applyFill="1" applyBorder="1" applyAlignment="1" applyProtection="1">
      <alignment horizontal="center" vertical="center"/>
      <protection hidden="1"/>
    </xf>
    <xf numFmtId="0" fontId="313" fillId="26" borderId="5" xfId="0" applyFont="1" applyFill="1" applyBorder="1" applyAlignment="1">
      <alignment horizontal="center" vertical="center" wrapText="1"/>
    </xf>
    <xf numFmtId="0" fontId="313" fillId="26" borderId="5" xfId="0" applyFont="1" applyFill="1" applyBorder="1" applyAlignment="1">
      <alignment horizontal="center" vertical="center"/>
    </xf>
    <xf numFmtId="49" fontId="135" fillId="20" borderId="22" xfId="0" applyNumberFormat="1" applyFont="1" applyFill="1" applyBorder="1" applyAlignment="1" applyProtection="1">
      <alignment horizontal="center" vertical="center"/>
      <protection locked="0"/>
    </xf>
    <xf numFmtId="0" fontId="348" fillId="26" borderId="65" xfId="0" applyFont="1" applyFill="1" applyBorder="1" applyAlignment="1">
      <alignment horizontal="center" vertical="center"/>
    </xf>
    <xf numFmtId="0" fontId="313" fillId="26" borderId="5" xfId="0" applyFont="1" applyFill="1" applyBorder="1" applyAlignment="1">
      <alignment horizontal="center" wrapText="1"/>
    </xf>
    <xf numFmtId="0" fontId="313" fillId="26" borderId="5" xfId="0" applyFont="1" applyFill="1" applyBorder="1" applyAlignment="1">
      <alignment horizontal="center"/>
    </xf>
    <xf numFmtId="0" fontId="313" fillId="26" borderId="66" xfId="0" applyFont="1" applyFill="1" applyBorder="1" applyAlignment="1">
      <alignment horizontal="center" vertical="center"/>
    </xf>
    <xf numFmtId="0" fontId="313" fillId="26" borderId="66"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9" fillId="0" borderId="1" xfId="0" applyFont="1" applyBorder="1" applyAlignment="1">
      <alignment horizontal="center" vertical="center"/>
    </xf>
    <xf numFmtId="0" fontId="9" fillId="0" borderId="52" xfId="0" applyFont="1" applyBorder="1" applyAlignment="1">
      <alignment horizontal="center" vertical="center"/>
    </xf>
    <xf numFmtId="0" fontId="278" fillId="26" borderId="4" xfId="0" applyFont="1" applyFill="1" applyBorder="1" applyAlignment="1" applyProtection="1">
      <alignment vertical="center"/>
      <protection locked="0"/>
    </xf>
    <xf numFmtId="0" fontId="278" fillId="26" borderId="3" xfId="0" applyFont="1" applyFill="1" applyBorder="1" applyAlignment="1" applyProtection="1">
      <alignment vertical="center"/>
      <protection locked="0"/>
    </xf>
    <xf numFmtId="0" fontId="277" fillId="26" borderId="3" xfId="0" applyFont="1" applyFill="1" applyBorder="1" applyAlignment="1" applyProtection="1">
      <alignment vertical="center"/>
      <protection locked="0"/>
    </xf>
    <xf numFmtId="0" fontId="280" fillId="26" borderId="4" xfId="0" applyFont="1" applyFill="1" applyBorder="1" applyAlignment="1" applyProtection="1">
      <alignment vertical="center"/>
      <protection locked="0"/>
    </xf>
    <xf numFmtId="0" fontId="278" fillId="26" borderId="13" xfId="0" applyFont="1" applyFill="1" applyBorder="1" applyAlignment="1" applyProtection="1">
      <alignment vertical="center"/>
      <protection locked="0"/>
    </xf>
    <xf numFmtId="0" fontId="278" fillId="26" borderId="5" xfId="0" applyFont="1" applyFill="1" applyBorder="1" applyAlignment="1" applyProtection="1">
      <alignment vertical="center"/>
      <protection locked="0"/>
    </xf>
    <xf numFmtId="0" fontId="277" fillId="26" borderId="5" xfId="0" applyFont="1" applyFill="1" applyBorder="1" applyAlignment="1" applyProtection="1">
      <alignment vertical="center"/>
      <protection locked="0"/>
    </xf>
    <xf numFmtId="0" fontId="280" fillId="26" borderId="13" xfId="0" applyFont="1" applyFill="1" applyBorder="1" applyAlignment="1" applyProtection="1">
      <alignment vertical="center"/>
      <protection locked="0"/>
    </xf>
    <xf numFmtId="0" fontId="278" fillId="26" borderId="23" xfId="0" applyFont="1" applyFill="1" applyBorder="1" applyAlignment="1" applyProtection="1">
      <alignment horizontal="left" vertical="center"/>
      <protection locked="0"/>
    </xf>
    <xf numFmtId="0" fontId="278" fillId="26" borderId="8" xfId="0" applyFont="1" applyFill="1" applyBorder="1" applyAlignment="1" applyProtection="1">
      <alignment horizontal="left" vertical="center"/>
      <protection locked="0"/>
    </xf>
    <xf numFmtId="0" fontId="277" fillId="26" borderId="8" xfId="0" applyFont="1" applyFill="1" applyBorder="1" applyAlignment="1" applyProtection="1">
      <alignment horizontal="left" vertical="center"/>
      <protection locked="0"/>
    </xf>
    <xf numFmtId="0" fontId="280" fillId="26" borderId="23" xfId="0" applyFont="1" applyFill="1" applyBorder="1" applyAlignment="1" applyProtection="1">
      <alignment vertical="center"/>
      <protection locked="0"/>
    </xf>
    <xf numFmtId="0" fontId="277" fillId="26" borderId="5" xfId="0" applyFont="1" applyFill="1" applyBorder="1" applyAlignment="1" applyProtection="1">
      <alignment horizontal="left" vertical="center"/>
      <protection locked="0"/>
    </xf>
    <xf numFmtId="0" fontId="277" fillId="26" borderId="3" xfId="0" applyFont="1" applyFill="1" applyBorder="1" applyAlignment="1" applyProtection="1">
      <alignment horizontal="left" vertical="center"/>
      <protection locked="0"/>
    </xf>
    <xf numFmtId="0" fontId="277" fillId="26" borderId="4" xfId="0" applyFont="1" applyFill="1" applyBorder="1" applyAlignment="1" applyProtection="1">
      <alignment horizontal="right" vertical="center"/>
      <protection locked="0"/>
    </xf>
    <xf numFmtId="0" fontId="277" fillId="26" borderId="13" xfId="0" applyFont="1" applyFill="1" applyBorder="1" applyAlignment="1" applyProtection="1">
      <alignment horizontal="right" vertical="center"/>
      <protection locked="0"/>
    </xf>
    <xf numFmtId="0" fontId="277" fillId="26" borderId="13" xfId="0" applyFont="1" applyFill="1" applyBorder="1" applyAlignment="1" applyProtection="1">
      <alignment vertical="center"/>
      <protection locked="0"/>
    </xf>
    <xf numFmtId="0" fontId="278" fillId="26" borderId="23" xfId="0" applyFont="1" applyFill="1" applyBorder="1" applyAlignment="1" applyProtection="1">
      <alignment vertical="center"/>
      <protection locked="0"/>
    </xf>
    <xf numFmtId="0" fontId="278" fillId="26" borderId="8" xfId="0" applyFont="1" applyFill="1" applyBorder="1" applyAlignment="1" applyProtection="1">
      <alignment vertical="center"/>
      <protection locked="0"/>
    </xf>
    <xf numFmtId="0" fontId="277" fillId="26" borderId="8" xfId="0" applyFont="1" applyFill="1" applyBorder="1" applyAlignment="1" applyProtection="1">
      <alignment vertical="center"/>
      <protection locked="0"/>
    </xf>
    <xf numFmtId="0" fontId="277" fillId="26" borderId="23" xfId="0" applyFont="1" applyFill="1" applyBorder="1" applyAlignment="1" applyProtection="1">
      <alignment vertical="center"/>
      <protection locked="0"/>
    </xf>
    <xf numFmtId="0" fontId="278" fillId="26" borderId="4" xfId="0" applyFont="1" applyFill="1" applyBorder="1" applyProtection="1">
      <protection locked="0"/>
    </xf>
    <xf numFmtId="0" fontId="278" fillId="26" borderId="3" xfId="0" applyFont="1" applyFill="1" applyBorder="1" applyProtection="1">
      <protection locked="0"/>
    </xf>
    <xf numFmtId="0" fontId="277" fillId="26" borderId="3" xfId="0" applyFont="1" applyFill="1" applyBorder="1" applyProtection="1">
      <protection locked="0"/>
    </xf>
    <xf numFmtId="0" fontId="279" fillId="26" borderId="4" xfId="0" applyFont="1" applyFill="1" applyBorder="1" applyAlignment="1" applyProtection="1">
      <alignment vertical="center"/>
      <protection locked="0"/>
    </xf>
    <xf numFmtId="0" fontId="278" fillId="26" borderId="13" xfId="0" applyFont="1" applyFill="1" applyBorder="1" applyProtection="1">
      <protection locked="0"/>
    </xf>
    <xf numFmtId="0" fontId="278" fillId="26" borderId="5" xfId="0" applyFont="1" applyFill="1" applyBorder="1" applyProtection="1">
      <protection locked="0"/>
    </xf>
    <xf numFmtId="0" fontId="277" fillId="26" borderId="5" xfId="0" applyFont="1" applyFill="1" applyBorder="1" applyProtection="1">
      <protection locked="0"/>
    </xf>
    <xf numFmtId="0" fontId="279" fillId="26" borderId="13" xfId="0" applyFont="1" applyFill="1" applyBorder="1" applyAlignment="1" applyProtection="1">
      <alignment vertical="center"/>
      <protection locked="0"/>
    </xf>
    <xf numFmtId="0" fontId="278" fillId="26" borderId="23" xfId="0" applyFont="1" applyFill="1" applyBorder="1" applyProtection="1">
      <protection locked="0"/>
    </xf>
    <xf numFmtId="0" fontId="278" fillId="26" borderId="8" xfId="0" applyFont="1" applyFill="1" applyBorder="1" applyProtection="1">
      <protection locked="0"/>
    </xf>
    <xf numFmtId="0" fontId="277" fillId="26" borderId="8" xfId="0" applyFont="1" applyFill="1" applyBorder="1" applyProtection="1">
      <protection locked="0"/>
    </xf>
    <xf numFmtId="0" fontId="279" fillId="26" borderId="23" xfId="0" applyFont="1" applyFill="1" applyBorder="1" applyAlignment="1" applyProtection="1">
      <alignment vertical="center"/>
      <protection locked="0"/>
    </xf>
    <xf numFmtId="49" fontId="278" fillId="26" borderId="13" xfId="0" applyNumberFormat="1" applyFont="1" applyFill="1" applyBorder="1" applyAlignment="1" applyProtection="1">
      <alignment horizontal="left"/>
      <protection locked="0"/>
    </xf>
    <xf numFmtId="49" fontId="278" fillId="26" borderId="5" xfId="0" applyNumberFormat="1" applyFont="1" applyFill="1" applyBorder="1" applyAlignment="1" applyProtection="1">
      <alignment horizontal="left"/>
      <protection locked="0"/>
    </xf>
    <xf numFmtId="49" fontId="277" fillId="26" borderId="5" xfId="0" applyNumberFormat="1" applyFont="1" applyFill="1" applyBorder="1" applyAlignment="1" applyProtection="1">
      <alignment horizontal="left"/>
      <protection locked="0"/>
    </xf>
    <xf numFmtId="49" fontId="278" fillId="26" borderId="13" xfId="0" applyNumberFormat="1" applyFont="1" applyFill="1" applyBorder="1" applyAlignment="1" applyProtection="1">
      <alignment horizontal="left" vertical="center"/>
      <protection locked="0"/>
    </xf>
    <xf numFmtId="49" fontId="278" fillId="26" borderId="5" xfId="0" applyNumberFormat="1" applyFont="1" applyFill="1" applyBorder="1" applyAlignment="1" applyProtection="1">
      <alignment horizontal="left" vertical="center"/>
      <protection locked="0"/>
    </xf>
    <xf numFmtId="49" fontId="278" fillId="26" borderId="23" xfId="0" applyNumberFormat="1" applyFont="1" applyFill="1" applyBorder="1" applyAlignment="1" applyProtection="1">
      <alignment horizontal="left"/>
      <protection locked="0"/>
    </xf>
    <xf numFmtId="49" fontId="278" fillId="26" borderId="8" xfId="0" applyNumberFormat="1" applyFont="1" applyFill="1" applyBorder="1" applyAlignment="1" applyProtection="1">
      <alignment horizontal="left"/>
      <protection locked="0"/>
    </xf>
    <xf numFmtId="49" fontId="277" fillId="26" borderId="8" xfId="0" applyNumberFormat="1" applyFont="1" applyFill="1" applyBorder="1" applyAlignment="1" applyProtection="1">
      <alignment horizontal="left"/>
      <protection locked="0"/>
    </xf>
    <xf numFmtId="49" fontId="278" fillId="26" borderId="4" xfId="0" applyNumberFormat="1" applyFont="1" applyFill="1" applyBorder="1" applyAlignment="1" applyProtection="1">
      <alignment horizontal="left"/>
      <protection locked="0"/>
    </xf>
    <xf numFmtId="49" fontId="278" fillId="26" borderId="3" xfId="0" applyNumberFormat="1" applyFont="1" applyFill="1" applyBorder="1" applyAlignment="1" applyProtection="1">
      <alignment horizontal="left"/>
      <protection locked="0"/>
    </xf>
    <xf numFmtId="49" fontId="277" fillId="26" borderId="3" xfId="0" applyNumberFormat="1" applyFont="1" applyFill="1" applyBorder="1" applyAlignment="1" applyProtection="1">
      <alignment horizontal="left"/>
      <protection locked="0"/>
    </xf>
    <xf numFmtId="0" fontId="43" fillId="26" borderId="4" xfId="0" applyFont="1" applyFill="1" applyBorder="1" applyAlignment="1" applyProtection="1">
      <alignment vertical="center"/>
      <protection locked="0"/>
    </xf>
    <xf numFmtId="0" fontId="43" fillId="26" borderId="13" xfId="0" applyFont="1" applyFill="1" applyBorder="1" applyAlignment="1" applyProtection="1">
      <alignment vertical="center"/>
      <protection locked="0"/>
    </xf>
    <xf numFmtId="0" fontId="43" fillId="26" borderId="23" xfId="0" applyFont="1" applyFill="1" applyBorder="1" applyAlignment="1" applyProtection="1">
      <alignment vertical="center"/>
      <protection locked="0"/>
    </xf>
    <xf numFmtId="0" fontId="353" fillId="26" borderId="5" xfId="0" applyFont="1" applyFill="1" applyBorder="1" applyAlignment="1">
      <alignment horizontal="right" vertical="center"/>
    </xf>
    <xf numFmtId="0" fontId="96" fillId="0" borderId="5" xfId="0" applyFont="1" applyBorder="1" applyAlignment="1">
      <alignment horizontal="center" vertical="center"/>
    </xf>
    <xf numFmtId="188" fontId="353" fillId="26" borderId="13" xfId="0" applyNumberFormat="1" applyFont="1" applyFill="1" applyBorder="1" applyAlignment="1">
      <alignment horizontal="left" vertical="center"/>
    </xf>
    <xf numFmtId="0" fontId="329" fillId="0" borderId="0" xfId="0" applyFont="1" applyAlignment="1">
      <alignment vertical="top"/>
    </xf>
    <xf numFmtId="0" fontId="2" fillId="4" borderId="64" xfId="0" applyFont="1" applyFill="1" applyBorder="1" applyAlignment="1">
      <alignment horizontal="center" vertical="center"/>
    </xf>
    <xf numFmtId="0" fontId="2" fillId="24" borderId="16" xfId="0" applyFont="1" applyFill="1" applyBorder="1" applyAlignment="1">
      <alignment vertical="center"/>
    </xf>
    <xf numFmtId="0" fontId="43" fillId="24" borderId="16" xfId="0" applyFont="1" applyFill="1" applyBorder="1" applyAlignment="1">
      <alignment vertical="center"/>
    </xf>
    <xf numFmtId="0" fontId="43" fillId="24" borderId="18" xfId="0" applyFont="1" applyFill="1" applyBorder="1" applyAlignment="1">
      <alignment vertical="center"/>
    </xf>
    <xf numFmtId="0" fontId="44" fillId="24" borderId="28" xfId="0" applyFont="1" applyFill="1" applyBorder="1" applyAlignment="1">
      <alignment vertical="center"/>
    </xf>
    <xf numFmtId="0" fontId="44" fillId="24" borderId="51" xfId="0" applyFont="1" applyFill="1" applyBorder="1" applyAlignment="1">
      <alignment vertical="center"/>
    </xf>
    <xf numFmtId="0" fontId="44" fillId="24" borderId="46" xfId="0" applyFont="1" applyFill="1" applyBorder="1" applyAlignment="1">
      <alignment vertical="center"/>
    </xf>
    <xf numFmtId="0" fontId="44" fillId="24" borderId="0" xfId="0" applyFont="1" applyFill="1" applyAlignment="1">
      <alignment vertical="center"/>
    </xf>
    <xf numFmtId="0" fontId="339" fillId="24" borderId="14" xfId="0" applyFont="1" applyFill="1" applyBorder="1" applyAlignment="1">
      <alignment horizontal="center" vertical="center"/>
    </xf>
    <xf numFmtId="0" fontId="341" fillId="24" borderId="32" xfId="0" applyFont="1" applyFill="1" applyBorder="1" applyAlignment="1">
      <alignment horizontal="center" vertical="center"/>
    </xf>
    <xf numFmtId="0" fontId="337" fillId="26" borderId="64" xfId="0" applyFont="1" applyFill="1" applyBorder="1" applyAlignment="1">
      <alignment horizontal="center" vertical="center" wrapText="1"/>
    </xf>
    <xf numFmtId="0" fontId="146" fillId="0" borderId="69" xfId="0" applyFont="1" applyBorder="1" applyAlignment="1">
      <alignment horizontal="center" vertical="center" wrapText="1"/>
    </xf>
    <xf numFmtId="0" fontId="96" fillId="0" borderId="16" xfId="0" applyFont="1" applyBorder="1" applyAlignment="1">
      <alignment horizontal="center" vertical="center"/>
    </xf>
    <xf numFmtId="192" fontId="336" fillId="26" borderId="4" xfId="0" applyNumberFormat="1" applyFont="1" applyFill="1" applyBorder="1" applyAlignment="1">
      <alignment horizontal="left" vertical="center"/>
    </xf>
    <xf numFmtId="0" fontId="336" fillId="26" borderId="79" xfId="0" applyFont="1" applyFill="1" applyBorder="1" applyAlignment="1" applyProtection="1">
      <alignment horizontal="center" vertical="center"/>
      <protection hidden="1"/>
    </xf>
    <xf numFmtId="0" fontId="336" fillId="26" borderId="64" xfId="1" applyFont="1" applyFill="1" applyBorder="1" applyAlignment="1" applyProtection="1">
      <alignment horizontal="center" vertical="center"/>
    </xf>
    <xf numFmtId="0" fontId="336" fillId="26" borderId="70" xfId="0" applyFont="1" applyFill="1" applyBorder="1" applyAlignment="1">
      <alignment horizontal="center" vertical="center"/>
    </xf>
    <xf numFmtId="0" fontId="96" fillId="0" borderId="21" xfId="0" applyFont="1" applyBorder="1" applyAlignment="1">
      <alignment vertical="center"/>
    </xf>
    <xf numFmtId="0" fontId="96" fillId="0" borderId="14" xfId="0" applyFont="1" applyBorder="1" applyAlignment="1">
      <alignment vertical="center"/>
    </xf>
    <xf numFmtId="0" fontId="96" fillId="0" borderId="10" xfId="0" applyFont="1" applyBorder="1" applyAlignment="1">
      <alignment vertical="center"/>
    </xf>
    <xf numFmtId="0" fontId="91" fillId="0" borderId="1" xfId="0" applyFont="1" applyBorder="1" applyAlignment="1">
      <alignment vertical="center" wrapText="1"/>
    </xf>
    <xf numFmtId="0" fontId="91" fillId="0" borderId="52" xfId="0" applyFont="1" applyBorder="1" applyAlignment="1">
      <alignment vertical="center" wrapText="1"/>
    </xf>
    <xf numFmtId="0" fontId="359" fillId="0" borderId="21" xfId="0" applyFont="1" applyBorder="1" applyAlignment="1">
      <alignment horizontal="right" vertical="center"/>
    </xf>
    <xf numFmtId="188" fontId="336" fillId="26" borderId="14" xfId="0" applyNumberFormat="1" applyFont="1" applyFill="1" applyBorder="1" applyAlignment="1">
      <alignment horizontal="right" vertical="center"/>
    </xf>
    <xf numFmtId="188" fontId="45" fillId="0" borderId="10" xfId="0" applyNumberFormat="1" applyFont="1" applyBorder="1" applyAlignment="1">
      <alignment horizontal="right" vertical="center"/>
    </xf>
    <xf numFmtId="188" fontId="336" fillId="26" borderId="18" xfId="0" applyNumberFormat="1" applyFont="1" applyFill="1" applyBorder="1" applyAlignment="1">
      <alignment horizontal="left" vertical="center"/>
    </xf>
    <xf numFmtId="189" fontId="360" fillId="26" borderId="13" xfId="0" applyNumberFormat="1" applyFont="1" applyFill="1" applyBorder="1" applyAlignment="1">
      <alignment horizontal="left" vertical="center"/>
    </xf>
    <xf numFmtId="171" fontId="360" fillId="26" borderId="18" xfId="0" applyNumberFormat="1" applyFont="1" applyFill="1" applyBorder="1" applyAlignment="1">
      <alignment horizontal="left" vertical="center"/>
    </xf>
    <xf numFmtId="189" fontId="12" fillId="26" borderId="18" xfId="0" applyNumberFormat="1" applyFont="1" applyFill="1" applyBorder="1" applyAlignment="1" applyProtection="1">
      <alignment horizontal="center" vertical="center"/>
      <protection locked="0"/>
    </xf>
    <xf numFmtId="0" fontId="96" fillId="26" borderId="13" xfId="0" applyFont="1" applyFill="1" applyBorder="1" applyAlignment="1" applyProtection="1">
      <alignment horizontal="center"/>
      <protection locked="0"/>
    </xf>
    <xf numFmtId="178" fontId="115" fillId="26" borderId="13" xfId="0" applyNumberFormat="1" applyFont="1" applyFill="1" applyBorder="1" applyAlignment="1" applyProtection="1">
      <alignment horizontal="center"/>
      <protection locked="0"/>
    </xf>
    <xf numFmtId="0" fontId="147" fillId="26" borderId="23" xfId="0" applyFont="1" applyFill="1" applyBorder="1" applyAlignment="1" applyProtection="1">
      <alignment horizontal="center"/>
      <protection locked="0"/>
    </xf>
    <xf numFmtId="0" fontId="2" fillId="26" borderId="94" xfId="0" applyFont="1" applyFill="1" applyBorder="1" applyAlignment="1" applyProtection="1">
      <alignment horizontal="center" vertical="center"/>
      <protection locked="0"/>
    </xf>
    <xf numFmtId="0" fontId="2" fillId="26" borderId="4" xfId="0" applyFont="1" applyFill="1" applyBorder="1" applyAlignment="1" applyProtection="1">
      <alignment horizontal="center" vertical="center"/>
      <protection locked="0"/>
    </xf>
    <xf numFmtId="0" fontId="2" fillId="26" borderId="18" xfId="0" applyFont="1" applyFill="1" applyBorder="1" applyAlignment="1" applyProtection="1">
      <alignment horizontal="center" vertical="center"/>
      <protection locked="0"/>
    </xf>
    <xf numFmtId="0" fontId="2" fillId="26" borderId="28" xfId="0" applyFont="1" applyFill="1" applyBorder="1" applyAlignment="1" applyProtection="1">
      <alignment horizontal="center" vertical="center"/>
      <protection locked="0"/>
    </xf>
    <xf numFmtId="0" fontId="2" fillId="26" borderId="139" xfId="0" applyFont="1" applyFill="1" applyBorder="1" applyAlignment="1" applyProtection="1">
      <alignment horizontal="center" vertical="center"/>
      <protection locked="0"/>
    </xf>
    <xf numFmtId="0" fontId="2" fillId="26" borderId="89" xfId="0" applyFont="1" applyFill="1" applyBorder="1" applyAlignment="1" applyProtection="1">
      <alignment horizontal="center" vertical="center"/>
      <protection locked="0"/>
    </xf>
    <xf numFmtId="0" fontId="2" fillId="26" borderId="37" xfId="0" applyFont="1" applyFill="1" applyBorder="1" applyAlignment="1" applyProtection="1">
      <alignment horizontal="center" vertical="center"/>
      <protection locked="0"/>
    </xf>
    <xf numFmtId="0" fontId="2" fillId="26" borderId="198" xfId="0" applyFont="1" applyFill="1" applyBorder="1" applyAlignment="1" applyProtection="1">
      <alignment horizontal="center" vertical="center"/>
      <protection locked="0"/>
    </xf>
    <xf numFmtId="0" fontId="14" fillId="26" borderId="94" xfId="0" applyFont="1" applyFill="1" applyBorder="1" applyAlignment="1" applyProtection="1">
      <alignment horizontal="center" vertical="center"/>
      <protection locked="0"/>
    </xf>
    <xf numFmtId="49" fontId="347" fillId="26" borderId="73" xfId="0" applyNumberFormat="1" applyFont="1" applyFill="1" applyBorder="1" applyAlignment="1" applyProtection="1">
      <alignment horizontal="center" vertical="center"/>
      <protection locked="0"/>
    </xf>
    <xf numFmtId="49" fontId="347" fillId="26" borderId="1" xfId="0" applyNumberFormat="1" applyFont="1" applyFill="1" applyBorder="1" applyAlignment="1" applyProtection="1">
      <alignment horizontal="center" vertical="center"/>
      <protection locked="0"/>
    </xf>
    <xf numFmtId="49" fontId="347" fillId="26" borderId="12" xfId="0" applyNumberFormat="1" applyFont="1" applyFill="1" applyBorder="1" applyAlignment="1" applyProtection="1">
      <alignment horizontal="center" vertical="center"/>
      <protection locked="0"/>
    </xf>
    <xf numFmtId="49" fontId="347" fillId="26" borderId="30" xfId="0" applyNumberFormat="1" applyFont="1" applyFill="1" applyBorder="1" applyAlignment="1" applyProtection="1">
      <alignment horizontal="center" vertical="center"/>
      <protection locked="0"/>
    </xf>
    <xf numFmtId="49" fontId="347" fillId="26" borderId="42" xfId="0" applyNumberFormat="1" applyFont="1" applyFill="1" applyBorder="1" applyAlignment="1" applyProtection="1">
      <alignment horizontal="center" vertical="center"/>
      <protection locked="0"/>
    </xf>
    <xf numFmtId="0" fontId="347" fillId="26" borderId="8" xfId="0" applyFont="1" applyFill="1" applyBorder="1" applyAlignment="1" applyProtection="1">
      <alignment vertical="center"/>
      <protection locked="0"/>
    </xf>
    <xf numFmtId="197" fontId="366" fillId="20" borderId="112" xfId="0" applyNumberFormat="1" applyFont="1" applyFill="1" applyBorder="1" applyAlignment="1" applyProtection="1">
      <alignment horizontal="center" vertical="center"/>
      <protection locked="0"/>
    </xf>
    <xf numFmtId="0" fontId="3" fillId="0" borderId="107" xfId="0" applyFont="1" applyBorder="1" applyAlignment="1">
      <alignment horizontal="center" vertical="center" wrapText="1"/>
    </xf>
    <xf numFmtId="0" fontId="3" fillId="0" borderId="144" xfId="0" applyFont="1" applyBorder="1" applyAlignment="1">
      <alignment horizontal="center" vertical="center" wrapText="1"/>
    </xf>
    <xf numFmtId="0" fontId="3" fillId="0" borderId="84" xfId="0" applyFont="1" applyBorder="1" applyAlignment="1">
      <alignment horizontal="center" vertical="center" wrapText="1"/>
    </xf>
    <xf numFmtId="0" fontId="22" fillId="0" borderId="213" xfId="0" applyFont="1" applyBorder="1" applyAlignment="1">
      <alignment vertical="center" wrapText="1"/>
    </xf>
    <xf numFmtId="0" fontId="373" fillId="0" borderId="16" xfId="1" quotePrefix="1" applyFont="1" applyFill="1" applyBorder="1" applyAlignment="1" applyProtection="1">
      <alignment vertical="center" wrapText="1"/>
    </xf>
    <xf numFmtId="0" fontId="372" fillId="0" borderId="16" xfId="1" applyFont="1" applyFill="1" applyBorder="1" applyAlignment="1" applyProtection="1">
      <alignment horizontal="left" vertical="center"/>
    </xf>
    <xf numFmtId="0" fontId="337" fillId="26" borderId="70" xfId="0" applyFont="1" applyFill="1" applyBorder="1" applyAlignment="1">
      <alignment horizontal="center" vertical="center" wrapText="1"/>
    </xf>
    <xf numFmtId="0" fontId="371" fillId="0" borderId="17" xfId="1" applyFont="1" applyFill="1" applyBorder="1" applyAlignment="1" applyProtection="1">
      <alignment horizontal="center" vertical="center"/>
    </xf>
    <xf numFmtId="0" fontId="371" fillId="0" borderId="17" xfId="1" applyFont="1" applyBorder="1" applyAlignment="1" applyProtection="1">
      <alignment horizontal="left" vertical="center"/>
    </xf>
    <xf numFmtId="0" fontId="276" fillId="20" borderId="10" xfId="0" applyFont="1" applyFill="1" applyBorder="1" applyAlignment="1" applyProtection="1">
      <alignment horizontal="center" vertical="center" wrapText="1"/>
      <protection locked="0"/>
    </xf>
    <xf numFmtId="0" fontId="2" fillId="21" borderId="215" xfId="0" applyFont="1" applyFill="1" applyBorder="1" applyAlignment="1" applyProtection="1">
      <alignment horizontal="center" vertical="center"/>
      <protection locked="0"/>
    </xf>
    <xf numFmtId="189" fontId="97" fillId="20" borderId="96" xfId="0" applyNumberFormat="1" applyFont="1" applyFill="1" applyBorder="1" applyAlignment="1" applyProtection="1">
      <alignment horizontal="left" vertical="center"/>
      <protection locked="0"/>
    </xf>
    <xf numFmtId="0" fontId="391" fillId="20" borderId="3" xfId="0" applyFont="1" applyFill="1" applyBorder="1" applyAlignment="1" applyProtection="1">
      <alignment horizontal="left" vertical="center"/>
      <protection locked="0"/>
    </xf>
    <xf numFmtId="0" fontId="392" fillId="20" borderId="3" xfId="0" applyFont="1" applyFill="1" applyBorder="1" applyAlignment="1" applyProtection="1">
      <alignment vertical="center"/>
      <protection locked="0"/>
    </xf>
    <xf numFmtId="0" fontId="391" fillId="20" borderId="5" xfId="0" applyFont="1" applyFill="1" applyBorder="1" applyAlignment="1" applyProtection="1">
      <alignment horizontal="left" vertical="center"/>
      <protection locked="0"/>
    </xf>
    <xf numFmtId="0" fontId="392" fillId="20" borderId="5" xfId="0" applyFont="1" applyFill="1" applyBorder="1" applyAlignment="1" applyProtection="1">
      <alignment vertical="center"/>
      <protection locked="0"/>
    </xf>
    <xf numFmtId="0" fontId="393" fillId="20" borderId="13" xfId="0" applyFont="1" applyFill="1" applyBorder="1" applyAlignment="1" applyProtection="1">
      <alignment vertical="center"/>
      <protection locked="0"/>
    </xf>
    <xf numFmtId="0" fontId="392" fillId="20" borderId="4" xfId="0" applyFont="1" applyFill="1" applyBorder="1" applyAlignment="1" applyProtection="1">
      <alignment vertical="center"/>
      <protection locked="0"/>
    </xf>
    <xf numFmtId="0" fontId="392" fillId="20" borderId="13" xfId="0" applyFont="1" applyFill="1" applyBorder="1" applyAlignment="1" applyProtection="1">
      <alignment vertical="center"/>
      <protection locked="0"/>
    </xf>
    <xf numFmtId="194" fontId="52" fillId="0" borderId="8" xfId="0" applyNumberFormat="1" applyFont="1" applyBorder="1" applyAlignment="1">
      <alignment horizontal="center" vertical="center" wrapText="1"/>
    </xf>
    <xf numFmtId="194" fontId="92" fillId="0" borderId="23" xfId="0" applyNumberFormat="1" applyFont="1" applyBorder="1" applyAlignment="1" applyProtection="1">
      <alignment horizontal="left" vertical="center" wrapText="1"/>
      <protection locked="0"/>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9" fillId="0" borderId="43" xfId="0" applyFont="1" applyBorder="1" applyAlignment="1">
      <alignment vertical="center"/>
    </xf>
    <xf numFmtId="0" fontId="3" fillId="0" borderId="18" xfId="0" applyFont="1" applyBorder="1" applyAlignment="1">
      <alignment horizontal="center" vertical="center"/>
    </xf>
    <xf numFmtId="0" fontId="70" fillId="0" borderId="16" xfId="0" applyFont="1" applyBorder="1" applyAlignment="1">
      <alignment horizontal="left" vertical="center"/>
    </xf>
    <xf numFmtId="0" fontId="70" fillId="0" borderId="19" xfId="0" applyFont="1" applyBorder="1" applyAlignment="1">
      <alignment horizontal="justify" vertical="center" wrapText="1"/>
    </xf>
    <xf numFmtId="0" fontId="78" fillId="0" borderId="6" xfId="0" applyFont="1" applyBorder="1" applyAlignment="1">
      <alignment horizontal="center" vertical="center" wrapText="1"/>
    </xf>
    <xf numFmtId="0" fontId="0" fillId="0" borderId="12" xfId="0" applyBorder="1" applyAlignment="1">
      <alignment vertical="center"/>
    </xf>
    <xf numFmtId="0" fontId="70" fillId="0" borderId="11" xfId="0" applyFont="1" applyBorder="1" applyAlignment="1">
      <alignment horizontal="justify" vertical="center" wrapText="1"/>
    </xf>
    <xf numFmtId="0" fontId="317" fillId="20" borderId="95" xfId="0" applyFont="1" applyFill="1" applyBorder="1" applyAlignment="1" applyProtection="1">
      <alignment horizontal="center" vertical="center"/>
      <protection locked="0"/>
    </xf>
    <xf numFmtId="178" fontId="398" fillId="20" borderId="188" xfId="0" applyNumberFormat="1" applyFont="1" applyFill="1" applyBorder="1" applyAlignment="1" applyProtection="1">
      <alignment horizontal="center" vertical="center"/>
      <protection locked="0"/>
    </xf>
    <xf numFmtId="0" fontId="399" fillId="0" borderId="0" xfId="0" applyFont="1"/>
    <xf numFmtId="0" fontId="397" fillId="0" borderId="0" xfId="0" applyFont="1"/>
    <xf numFmtId="0" fontId="2" fillId="0" borderId="0" xfId="0" applyFont="1" applyAlignment="1">
      <alignment horizontal="left" vertical="center"/>
    </xf>
    <xf numFmtId="0" fontId="66" fillId="0" borderId="0" xfId="0" applyFont="1" applyAlignment="1">
      <alignment vertical="center"/>
    </xf>
    <xf numFmtId="0" fontId="32" fillId="0" borderId="0" xfId="0" applyFont="1" applyAlignment="1">
      <alignment vertical="center"/>
    </xf>
    <xf numFmtId="0" fontId="14" fillId="0" borderId="40" xfId="0" applyFont="1" applyBorder="1" applyAlignment="1">
      <alignment horizontal="right"/>
    </xf>
    <xf numFmtId="0" fontId="2" fillId="0" borderId="3" xfId="0" applyFont="1" applyBorder="1" applyAlignment="1">
      <alignment horizontal="right"/>
    </xf>
    <xf numFmtId="0" fontId="186" fillId="0" borderId="3" xfId="0" applyFont="1" applyBorder="1" applyAlignment="1">
      <alignment horizontal="right"/>
    </xf>
    <xf numFmtId="0" fontId="91" fillId="0" borderId="0" xfId="0" applyFont="1" applyAlignment="1">
      <alignment horizontal="left"/>
    </xf>
    <xf numFmtId="0" fontId="99" fillId="23" borderId="45" xfId="0" applyFont="1" applyFill="1" applyBorder="1" applyAlignment="1">
      <alignment horizontal="center" vertical="center"/>
    </xf>
    <xf numFmtId="0" fontId="99" fillId="23" borderId="37" xfId="0" applyFont="1" applyFill="1" applyBorder="1" applyAlignment="1">
      <alignment horizontal="center" vertical="center"/>
    </xf>
    <xf numFmtId="0" fontId="14" fillId="0" borderId="0" xfId="0" applyFont="1" applyAlignment="1">
      <alignment horizontal="right"/>
    </xf>
    <xf numFmtId="0" fontId="186" fillId="0" borderId="0" xfId="0" applyFont="1" applyAlignment="1">
      <alignment horizontal="right"/>
    </xf>
    <xf numFmtId="49" fontId="193" fillId="0" borderId="16" xfId="0" applyNumberFormat="1" applyFont="1" applyBorder="1" applyAlignment="1">
      <alignment horizontal="right"/>
    </xf>
    <xf numFmtId="170" fontId="12" fillId="0" borderId="0" xfId="0" applyNumberFormat="1" applyFont="1" applyAlignment="1">
      <alignment horizontal="center"/>
    </xf>
    <xf numFmtId="0" fontId="375" fillId="9" borderId="129" xfId="0" applyFont="1" applyFill="1" applyBorder="1" applyAlignment="1">
      <alignment horizontal="right"/>
    </xf>
    <xf numFmtId="0" fontId="385" fillId="9" borderId="45" xfId="0" applyFont="1" applyFill="1" applyBorder="1" applyAlignment="1">
      <alignment horizontal="left" vertical="center"/>
    </xf>
    <xf numFmtId="0" fontId="144" fillId="9" borderId="45" xfId="0" applyFont="1" applyFill="1" applyBorder="1" applyAlignment="1">
      <alignment horizontal="left" vertical="center"/>
    </xf>
    <xf numFmtId="0" fontId="144" fillId="9" borderId="28" xfId="0" applyFont="1" applyFill="1" applyBorder="1" applyAlignment="1">
      <alignment horizontal="left" vertical="center"/>
    </xf>
    <xf numFmtId="0" fontId="66" fillId="0" borderId="129" xfId="0" applyFont="1" applyBorder="1" applyAlignment="1">
      <alignment vertical="center"/>
    </xf>
    <xf numFmtId="0" fontId="66" fillId="0" borderId="94" xfId="0" applyFont="1" applyBorder="1" applyAlignment="1">
      <alignment vertical="center"/>
    </xf>
    <xf numFmtId="0" fontId="193" fillId="0" borderId="144" xfId="0" applyFont="1" applyBorder="1" applyAlignment="1">
      <alignment horizontal="left"/>
    </xf>
    <xf numFmtId="0" fontId="193" fillId="0" borderId="0" xfId="0" applyFont="1" applyAlignment="1">
      <alignment horizontal="left"/>
    </xf>
    <xf numFmtId="0" fontId="385" fillId="9" borderId="51" xfId="0" applyFont="1" applyFill="1" applyBorder="1" applyAlignment="1">
      <alignment horizontal="left" vertical="center"/>
    </xf>
    <xf numFmtId="0" fontId="385" fillId="9" borderId="0" xfId="0" applyFont="1" applyFill="1" applyAlignment="1">
      <alignment horizontal="left"/>
    </xf>
    <xf numFmtId="0" fontId="144" fillId="9" borderId="0" xfId="0" applyFont="1" applyFill="1" applyAlignment="1">
      <alignment horizontal="left" vertical="center"/>
    </xf>
    <xf numFmtId="0" fontId="144" fillId="0" borderId="0" xfId="0" applyFont="1" applyAlignment="1">
      <alignment vertical="center" wrapText="1"/>
    </xf>
    <xf numFmtId="0" fontId="306" fillId="9" borderId="40" xfId="0" applyFont="1" applyFill="1" applyBorder="1" applyAlignment="1">
      <alignment horizontal="left" vertical="center"/>
    </xf>
    <xf numFmtId="0" fontId="106" fillId="9" borderId="3" xfId="0" applyFont="1" applyFill="1" applyBorder="1" applyAlignment="1">
      <alignment horizontal="left" vertical="center"/>
    </xf>
    <xf numFmtId="49" fontId="307" fillId="9" borderId="138" xfId="0" applyNumberFormat="1" applyFont="1" applyFill="1" applyBorder="1" applyAlignment="1">
      <alignment horizontal="right" vertical="center"/>
    </xf>
    <xf numFmtId="0" fontId="396" fillId="0" borderId="7" xfId="0" applyFont="1" applyBorder="1" applyAlignment="1">
      <alignment horizontal="center" vertical="center"/>
    </xf>
    <xf numFmtId="0" fontId="395" fillId="0" borderId="25" xfId="0" applyFont="1" applyBorder="1" applyAlignment="1">
      <alignment horizontal="center" vertical="center"/>
    </xf>
    <xf numFmtId="0" fontId="396" fillId="0" borderId="0" xfId="0" applyFont="1" applyAlignment="1">
      <alignment horizontal="center" vertical="center"/>
    </xf>
    <xf numFmtId="187" fontId="91" fillId="0" borderId="0" xfId="0" applyNumberFormat="1" applyFont="1" applyAlignment="1">
      <alignment horizontal="center" vertical="top"/>
    </xf>
    <xf numFmtId="0" fontId="386" fillId="9" borderId="44" xfId="0" applyFont="1" applyFill="1" applyBorder="1" applyAlignment="1">
      <alignment horizontal="left" vertical="center" wrapText="1" indent="1"/>
    </xf>
    <xf numFmtId="0" fontId="375" fillId="9" borderId="24" xfId="0" applyFont="1" applyFill="1" applyBorder="1" applyAlignment="1">
      <alignment vertical="center"/>
    </xf>
    <xf numFmtId="0" fontId="86" fillId="9" borderId="24" xfId="0" applyFont="1" applyFill="1" applyBorder="1" applyAlignment="1">
      <alignment horizontal="left" vertical="center" wrapText="1" indent="1"/>
    </xf>
    <xf numFmtId="0" fontId="66" fillId="9" borderId="24" xfId="0" applyFont="1" applyFill="1" applyBorder="1" applyAlignment="1">
      <alignment vertical="center"/>
    </xf>
    <xf numFmtId="0" fontId="86" fillId="9" borderId="22" xfId="0" applyFont="1" applyFill="1" applyBorder="1" applyAlignment="1">
      <alignment horizontal="left" vertical="center" wrapText="1" indent="1"/>
    </xf>
    <xf numFmtId="0" fontId="52" fillId="9" borderId="127" xfId="0" applyFont="1" applyFill="1" applyBorder="1" applyAlignment="1">
      <alignment horizontal="center" vertical="center"/>
    </xf>
    <xf numFmtId="0" fontId="52" fillId="9" borderId="16" xfId="0" applyFont="1" applyFill="1" applyBorder="1" applyAlignment="1">
      <alignment horizontal="center" vertical="center"/>
    </xf>
    <xf numFmtId="0" fontId="52" fillId="9" borderId="2" xfId="0" applyFont="1" applyFill="1" applyBorder="1" applyAlignment="1">
      <alignment horizontal="center" vertical="center"/>
    </xf>
    <xf numFmtId="0" fontId="52" fillId="9" borderId="132" xfId="0" applyFont="1" applyFill="1" applyBorder="1" applyAlignment="1">
      <alignment horizontal="center" vertical="center"/>
    </xf>
    <xf numFmtId="0" fontId="96" fillId="9" borderId="87" xfId="0" applyFont="1" applyFill="1" applyBorder="1" applyAlignment="1">
      <alignment horizontal="right" vertical="center"/>
    </xf>
    <xf numFmtId="0" fontId="190" fillId="12" borderId="144" xfId="0" applyFont="1" applyFill="1" applyBorder="1" applyAlignment="1">
      <alignment horizontal="center" vertical="center"/>
    </xf>
    <xf numFmtId="0" fontId="190" fillId="0" borderId="0" xfId="0" applyFont="1" applyAlignment="1">
      <alignment horizontal="center" vertical="center"/>
    </xf>
    <xf numFmtId="0" fontId="375" fillId="9" borderId="129" xfId="0" applyFont="1" applyFill="1" applyBorder="1" applyAlignment="1">
      <alignment horizontal="right" vertical="center"/>
    </xf>
    <xf numFmtId="0" fontId="385" fillId="9" borderId="0" xfId="0" applyFont="1" applyFill="1" applyAlignment="1">
      <alignment horizontal="left" vertical="center"/>
    </xf>
    <xf numFmtId="0" fontId="14" fillId="9" borderId="0" xfId="0" applyFont="1" applyFill="1" applyAlignment="1">
      <alignment horizontal="center"/>
    </xf>
    <xf numFmtId="0" fontId="66" fillId="9" borderId="0" xfId="0" applyFont="1" applyFill="1" applyAlignment="1">
      <alignment vertical="center"/>
    </xf>
    <xf numFmtId="0" fontId="86" fillId="9" borderId="0" xfId="0" applyFont="1" applyFill="1" applyAlignment="1">
      <alignment vertical="center" wrapText="1"/>
    </xf>
    <xf numFmtId="0" fontId="144" fillId="9" borderId="0" xfId="0" applyFont="1" applyFill="1" applyAlignment="1">
      <alignment vertical="center" wrapText="1"/>
    </xf>
    <xf numFmtId="0" fontId="144" fillId="9" borderId="28" xfId="0" applyFont="1" applyFill="1" applyBorder="1" applyAlignment="1">
      <alignment vertical="center" wrapText="1"/>
    </xf>
    <xf numFmtId="0" fontId="66" fillId="0" borderId="51" xfId="0" applyFont="1" applyBorder="1" applyAlignment="1">
      <alignment vertical="center"/>
    </xf>
    <xf numFmtId="0" fontId="164" fillId="0" borderId="0" xfId="0" applyFont="1" applyAlignment="1">
      <alignment horizontal="right" vertical="center" wrapText="1"/>
    </xf>
    <xf numFmtId="0" fontId="189" fillId="9" borderId="121" xfId="0" applyFont="1" applyFill="1" applyBorder="1" applyAlignment="1">
      <alignment horizontal="center"/>
    </xf>
    <xf numFmtId="0" fontId="162" fillId="0" borderId="0" xfId="0" applyFont="1" applyAlignment="1">
      <alignment horizontal="center" wrapText="1"/>
    </xf>
    <xf numFmtId="0" fontId="32" fillId="9" borderId="0" xfId="0" applyFont="1" applyFill="1" applyAlignment="1">
      <alignment vertical="center"/>
    </xf>
    <xf numFmtId="0" fontId="144" fillId="9" borderId="0" xfId="0" applyFont="1" applyFill="1" applyAlignment="1">
      <alignment horizontal="center" vertical="center" wrapText="1"/>
    </xf>
    <xf numFmtId="0" fontId="144" fillId="9" borderId="28" xfId="0" applyFont="1" applyFill="1" applyBorder="1" applyAlignment="1">
      <alignment horizontal="center" vertical="center" wrapText="1"/>
    </xf>
    <xf numFmtId="0" fontId="369" fillId="9" borderId="55" xfId="0" applyFont="1" applyFill="1" applyBorder="1" applyAlignment="1">
      <alignment horizontal="right" vertical="center"/>
    </xf>
    <xf numFmtId="0" fontId="144" fillId="9" borderId="44" xfId="0" applyFont="1" applyFill="1" applyBorder="1" applyAlignment="1">
      <alignment horizontal="center" vertical="center" wrapText="1"/>
    </xf>
    <xf numFmtId="0" fontId="385" fillId="9" borderId="24" xfId="0" applyFont="1" applyFill="1" applyBorder="1" applyAlignment="1">
      <alignment vertical="center"/>
    </xf>
    <xf numFmtId="0" fontId="144" fillId="9" borderId="24" xfId="0" applyFont="1" applyFill="1" applyBorder="1" applyAlignment="1">
      <alignment horizontal="center" vertical="center" wrapText="1"/>
    </xf>
    <xf numFmtId="0" fontId="144" fillId="9" borderId="22" xfId="0" applyFont="1" applyFill="1" applyBorder="1" applyAlignment="1">
      <alignment horizontal="center" vertical="center" wrapText="1"/>
    </xf>
    <xf numFmtId="0" fontId="66" fillId="9" borderId="44" xfId="0" applyFont="1" applyFill="1" applyBorder="1" applyAlignment="1">
      <alignment vertical="center"/>
    </xf>
    <xf numFmtId="49" fontId="16" fillId="9" borderId="7" xfId="0" applyNumberFormat="1" applyFont="1" applyFill="1" applyBorder="1" applyAlignment="1">
      <alignment vertical="center"/>
    </xf>
    <xf numFmtId="0" fontId="104" fillId="9" borderId="55" xfId="0" applyFont="1" applyFill="1" applyBorder="1" applyAlignment="1">
      <alignment horizontal="right"/>
    </xf>
    <xf numFmtId="0" fontId="147" fillId="12" borderId="85" xfId="0" applyFont="1" applyFill="1" applyBorder="1" applyAlignment="1">
      <alignment horizontal="center" vertical="center"/>
    </xf>
    <xf numFmtId="0" fontId="147" fillId="0" borderId="0" xfId="0" applyFont="1" applyAlignment="1">
      <alignment horizontal="center" vertical="center"/>
    </xf>
    <xf numFmtId="0" fontId="32" fillId="14" borderId="51" xfId="0" applyFont="1" applyFill="1" applyBorder="1" applyAlignment="1">
      <alignment vertical="center"/>
    </xf>
    <xf numFmtId="0" fontId="32" fillId="14" borderId="28" xfId="0" applyFont="1" applyFill="1" applyBorder="1" applyAlignment="1">
      <alignment vertical="center"/>
    </xf>
    <xf numFmtId="0" fontId="210" fillId="0" borderId="0" xfId="0" applyFont="1" applyAlignment="1">
      <alignment horizontal="left" vertical="center"/>
    </xf>
    <xf numFmtId="0" fontId="179" fillId="0" borderId="0" xfId="0" applyFont="1" applyAlignment="1">
      <alignment horizontal="center" vertical="center" wrapText="1"/>
    </xf>
    <xf numFmtId="0" fontId="149" fillId="0" borderId="0" xfId="0" applyFont="1" applyAlignment="1">
      <alignment vertical="center" wrapText="1"/>
    </xf>
    <xf numFmtId="0" fontId="84" fillId="0" borderId="0" xfId="0" applyFont="1" applyAlignment="1">
      <alignment vertical="center"/>
    </xf>
    <xf numFmtId="0" fontId="84" fillId="0" borderId="28" xfId="0" applyFont="1" applyBorder="1" applyAlignment="1">
      <alignment vertical="center"/>
    </xf>
    <xf numFmtId="0" fontId="164" fillId="0" borderId="51" xfId="0" applyFont="1" applyBorder="1" applyAlignment="1">
      <alignment horizontal="right" vertical="center" wrapText="1"/>
    </xf>
    <xf numFmtId="49" fontId="66" fillId="0" borderId="28" xfId="0" applyNumberFormat="1" applyFont="1" applyBorder="1" applyAlignment="1">
      <alignment vertical="center"/>
    </xf>
    <xf numFmtId="0" fontId="163" fillId="0" borderId="41" xfId="0" applyFont="1" applyBorder="1" applyAlignment="1">
      <alignment vertical="center"/>
    </xf>
    <xf numFmtId="0" fontId="154" fillId="22" borderId="85" xfId="0" applyFont="1" applyFill="1" applyBorder="1" applyAlignment="1">
      <alignment horizontal="center" vertical="center" wrapText="1"/>
    </xf>
    <xf numFmtId="0" fontId="154" fillId="0" borderId="0" xfId="0" applyFont="1" applyAlignment="1">
      <alignment horizontal="center" vertical="center" wrapText="1"/>
    </xf>
    <xf numFmtId="0" fontId="276" fillId="14" borderId="51" xfId="0" applyFont="1" applyFill="1" applyBorder="1" applyAlignment="1">
      <alignment horizontal="left" vertical="center"/>
    </xf>
    <xf numFmtId="0" fontId="16" fillId="14" borderId="28" xfId="0" applyFont="1" applyFill="1" applyBorder="1" applyAlignment="1">
      <alignment horizontal="left" vertical="center"/>
    </xf>
    <xf numFmtId="0" fontId="110" fillId="0" borderId="0" xfId="0" applyFont="1" applyAlignment="1">
      <alignment vertical="center"/>
    </xf>
    <xf numFmtId="0" fontId="91" fillId="0" borderId="0" xfId="0" applyFont="1" applyAlignment="1">
      <alignment horizontal="right"/>
    </xf>
    <xf numFmtId="49" fontId="9" fillId="0" borderId="0" xfId="0" applyNumberFormat="1" applyFont="1" applyAlignment="1">
      <alignment horizontal="left" vertical="center"/>
    </xf>
    <xf numFmtId="176" fontId="16" fillId="0" borderId="0" xfId="0" applyNumberFormat="1" applyFont="1" applyAlignment="1">
      <alignment vertical="center"/>
    </xf>
    <xf numFmtId="0" fontId="137" fillId="0" borderId="0" xfId="0" applyFont="1" applyAlignment="1">
      <alignment horizontal="center" vertical="center"/>
    </xf>
    <xf numFmtId="0" fontId="66" fillId="0" borderId="28" xfId="0" applyFont="1" applyBorder="1" applyAlignment="1">
      <alignment vertical="center"/>
    </xf>
    <xf numFmtId="0" fontId="14" fillId="0" borderId="51" xfId="0" applyFont="1" applyBorder="1" applyAlignment="1">
      <alignment horizontal="center" vertical="center" textRotation="90"/>
    </xf>
    <xf numFmtId="0" fontId="2" fillId="0" borderId="41" xfId="0" applyFont="1" applyBorder="1" applyAlignment="1">
      <alignment horizontal="left" vertical="center"/>
    </xf>
    <xf numFmtId="0" fontId="9" fillId="0" borderId="0" xfId="0" applyFont="1" applyAlignment="1">
      <alignment horizontal="right" vertical="center" wrapText="1"/>
    </xf>
    <xf numFmtId="0" fontId="96" fillId="0" borderId="24" xfId="0" applyFont="1" applyBorder="1" applyAlignment="1">
      <alignment horizontal="center" vertical="center"/>
    </xf>
    <xf numFmtId="0" fontId="66" fillId="0" borderId="24" xfId="0" applyFont="1" applyBorder="1" applyAlignment="1">
      <alignment vertical="center"/>
    </xf>
    <xf numFmtId="0" fontId="96" fillId="0" borderId="17" xfId="0" applyFont="1" applyBorder="1" applyAlignment="1">
      <alignment horizontal="center" vertical="center"/>
    </xf>
    <xf numFmtId="0" fontId="353" fillId="0" borderId="17" xfId="0" applyFont="1" applyBorder="1" applyAlignment="1">
      <alignment horizontal="right" vertical="center"/>
    </xf>
    <xf numFmtId="0" fontId="16" fillId="0" borderId="94" xfId="0" applyFont="1" applyBorder="1" applyAlignment="1">
      <alignment horizontal="right" vertical="center"/>
    </xf>
    <xf numFmtId="171" fontId="68" fillId="0" borderId="0" xfId="0" applyNumberFormat="1" applyFont="1" applyAlignment="1">
      <alignment horizontal="center" vertical="center"/>
    </xf>
    <xf numFmtId="0" fontId="135" fillId="14" borderId="51" xfId="0" applyFont="1" applyFill="1" applyBorder="1" applyAlignment="1">
      <alignment horizontal="left" vertical="center"/>
    </xf>
    <xf numFmtId="0" fontId="66" fillId="14" borderId="28" xfId="0" applyFont="1" applyFill="1" applyBorder="1" applyAlignment="1">
      <alignment vertical="center"/>
    </xf>
    <xf numFmtId="0" fontId="210" fillId="0" borderId="28" xfId="0" applyFont="1" applyBorder="1" applyAlignment="1">
      <alignment horizontal="center" textRotation="90"/>
    </xf>
    <xf numFmtId="0" fontId="19" fillId="6" borderId="185" xfId="0" applyFont="1" applyFill="1" applyBorder="1" applyAlignment="1">
      <alignment horizontal="center" vertical="center"/>
    </xf>
    <xf numFmtId="0" fontId="2" fillId="0" borderId="129" xfId="0" applyFont="1" applyBorder="1" applyAlignment="1">
      <alignment horizontal="left"/>
    </xf>
    <xf numFmtId="0" fontId="2" fillId="0" borderId="138" xfId="0" applyFont="1" applyBorder="1" applyAlignment="1">
      <alignment horizontal="left" vertical="center" wrapText="1"/>
    </xf>
    <xf numFmtId="0" fontId="185" fillId="9" borderId="3" xfId="0" applyFont="1" applyFill="1" applyBorder="1" applyAlignment="1">
      <alignment horizontal="center" vertical="center"/>
    </xf>
    <xf numFmtId="0" fontId="185" fillId="9" borderId="2" xfId="0" applyFont="1" applyFill="1" applyBorder="1" applyAlignment="1">
      <alignment horizontal="center" vertical="center"/>
    </xf>
    <xf numFmtId="0" fontId="185" fillId="9" borderId="14" xfId="0" applyFont="1" applyFill="1" applyBorder="1" applyAlignment="1">
      <alignment horizontal="center" vertical="center"/>
    </xf>
    <xf numFmtId="0" fontId="311" fillId="0" borderId="0" xfId="0" applyFont="1" applyAlignment="1">
      <alignment horizontal="center" vertical="center" wrapText="1"/>
    </xf>
    <xf numFmtId="0" fontId="66" fillId="0" borderId="3" xfId="0" applyFont="1" applyBorder="1" applyAlignment="1">
      <alignment vertical="center"/>
    </xf>
    <xf numFmtId="0" fontId="16" fillId="0" borderId="31" xfId="0" applyFont="1" applyBorder="1" applyAlignment="1">
      <alignment horizontal="right" vertical="center"/>
    </xf>
    <xf numFmtId="0" fontId="87" fillId="0" borderId="31" xfId="0" applyFont="1" applyBorder="1" applyAlignment="1">
      <alignment horizontal="center" vertical="center"/>
    </xf>
    <xf numFmtId="0" fontId="52" fillId="0" borderId="45" xfId="0" applyFont="1" applyBorder="1" applyAlignment="1">
      <alignment vertical="center"/>
    </xf>
    <xf numFmtId="0" fontId="2" fillId="0" borderId="43" xfId="0" applyFont="1" applyBorder="1" applyAlignment="1">
      <alignment horizontal="left" vertical="center"/>
    </xf>
    <xf numFmtId="0" fontId="2" fillId="0" borderId="6" xfId="0" applyFont="1" applyBorder="1" applyAlignment="1">
      <alignment horizontal="left" vertical="center" wrapText="1"/>
    </xf>
    <xf numFmtId="0" fontId="74" fillId="0" borderId="16" xfId="0" applyFont="1" applyBorder="1" applyAlignment="1">
      <alignment horizontal="center" vertical="center"/>
    </xf>
    <xf numFmtId="0" fontId="74" fillId="0" borderId="2" xfId="0" applyFont="1" applyBorder="1" applyAlignment="1">
      <alignment horizontal="center" vertical="center"/>
    </xf>
    <xf numFmtId="0" fontId="74" fillId="0" borderId="1" xfId="0" applyFont="1" applyBorder="1" applyAlignment="1">
      <alignment horizontal="center" vertical="center"/>
    </xf>
    <xf numFmtId="0" fontId="16" fillId="0" borderId="26" xfId="0" applyFont="1" applyBorder="1" applyAlignment="1">
      <alignment horizontal="right" vertical="center"/>
    </xf>
    <xf numFmtId="0" fontId="66" fillId="0" borderId="8" xfId="0" applyFont="1" applyBorder="1" applyAlignment="1">
      <alignment vertical="center"/>
    </xf>
    <xf numFmtId="1" fontId="92" fillId="0" borderId="26" xfId="0" applyNumberFormat="1" applyFont="1" applyBorder="1" applyAlignment="1">
      <alignment horizontal="center" vertical="center"/>
    </xf>
    <xf numFmtId="0" fontId="52" fillId="0" borderId="24" xfId="0" applyFont="1" applyBorder="1" applyAlignment="1">
      <alignment vertical="center"/>
    </xf>
    <xf numFmtId="49" fontId="142" fillId="14" borderId="2" xfId="0" applyNumberFormat="1" applyFont="1" applyFill="1" applyBorder="1" applyAlignment="1">
      <alignment horizontal="center" vertical="center"/>
    </xf>
    <xf numFmtId="49" fontId="142" fillId="14" borderId="14" xfId="0" applyNumberFormat="1" applyFont="1" applyFill="1" applyBorder="1" applyAlignment="1">
      <alignment horizontal="center" vertical="center"/>
    </xf>
    <xf numFmtId="0" fontId="142" fillId="14" borderId="1" xfId="0" applyFont="1" applyFill="1" applyBorder="1" applyAlignment="1">
      <alignment horizontal="center" vertical="center" wrapText="1"/>
    </xf>
    <xf numFmtId="49" fontId="142" fillId="14" borderId="1" xfId="0" applyNumberFormat="1" applyFont="1" applyFill="1" applyBorder="1" applyAlignment="1">
      <alignment horizontal="center" vertical="center"/>
    </xf>
    <xf numFmtId="0" fontId="52" fillId="0" borderId="18" xfId="0" applyFont="1" applyBorder="1" applyAlignment="1">
      <alignment horizontal="right" vertical="center"/>
    </xf>
    <xf numFmtId="1" fontId="98" fillId="22" borderId="84" xfId="0" applyNumberFormat="1" applyFont="1" applyFill="1" applyBorder="1" applyAlignment="1">
      <alignment horizontal="center" vertical="center"/>
    </xf>
    <xf numFmtId="1" fontId="98" fillId="0" borderId="0" xfId="0" applyNumberFormat="1" applyFont="1" applyAlignment="1">
      <alignment horizontal="center" vertical="center"/>
    </xf>
    <xf numFmtId="0" fontId="68" fillId="0" borderId="133" xfId="0" applyFont="1" applyBorder="1" applyAlignment="1">
      <alignment horizontal="right" vertical="center" wrapText="1"/>
    </xf>
    <xf numFmtId="179" fontId="45" fillId="0" borderId="133" xfId="0" applyNumberFormat="1" applyFont="1" applyBorder="1" applyAlignment="1">
      <alignment horizontal="center" vertical="center"/>
    </xf>
    <xf numFmtId="183" fontId="45" fillId="0" borderId="19" xfId="0" applyNumberFormat="1" applyFont="1" applyBorder="1" applyAlignment="1">
      <alignment horizontal="left" vertical="center"/>
    </xf>
    <xf numFmtId="0" fontId="142" fillId="14" borderId="1" xfId="0" applyFont="1" applyFill="1" applyBorder="1" applyAlignment="1">
      <alignment horizontal="center" vertical="center"/>
    </xf>
    <xf numFmtId="0" fontId="142" fillId="14" borderId="10" xfId="0" applyFont="1" applyFill="1" applyBorder="1" applyAlignment="1">
      <alignment horizontal="center" vertical="center"/>
    </xf>
    <xf numFmtId="0" fontId="52" fillId="0" borderId="13" xfId="0" applyFont="1" applyBorder="1" applyAlignment="1">
      <alignment horizontal="right" vertical="center"/>
    </xf>
    <xf numFmtId="182" fontId="98" fillId="22" borderId="77" xfId="0" applyNumberFormat="1" applyFont="1" applyFill="1" applyBorder="1" applyAlignment="1">
      <alignment horizontal="center" vertical="center"/>
    </xf>
    <xf numFmtId="182" fontId="98" fillId="0" borderId="0" xfId="0" applyNumberFormat="1" applyFont="1" applyAlignment="1">
      <alignment horizontal="center" vertical="center"/>
    </xf>
    <xf numFmtId="0" fontId="68" fillId="0" borderId="26" xfId="0" applyFont="1" applyBorder="1" applyAlignment="1">
      <alignment horizontal="right" vertical="center" wrapText="1"/>
    </xf>
    <xf numFmtId="193" fontId="189" fillId="0" borderId="96" xfId="0" applyNumberFormat="1" applyFont="1" applyBorder="1" applyAlignment="1">
      <alignment horizontal="center" vertical="center"/>
    </xf>
    <xf numFmtId="0" fontId="16" fillId="0" borderId="7" xfId="0" applyFont="1" applyBorder="1" applyAlignment="1">
      <alignment horizontal="right" vertical="center"/>
    </xf>
    <xf numFmtId="182" fontId="87" fillId="0" borderId="7" xfId="0" applyNumberFormat="1" applyFont="1" applyBorder="1" applyAlignment="1">
      <alignment horizontal="center" vertical="center"/>
    </xf>
    <xf numFmtId="183" fontId="87" fillId="0" borderId="11" xfId="0" applyNumberFormat="1" applyFont="1" applyBorder="1" applyAlignment="1">
      <alignment horizontal="left" vertical="center"/>
    </xf>
    <xf numFmtId="49" fontId="142" fillId="14" borderId="7" xfId="0" applyNumberFormat="1" applyFont="1" applyFill="1" applyBorder="1" applyAlignment="1">
      <alignment horizontal="center" vertical="center"/>
    </xf>
    <xf numFmtId="49" fontId="142" fillId="14" borderId="9" xfId="0" applyNumberFormat="1" applyFont="1" applyFill="1" applyBorder="1" applyAlignment="1">
      <alignment horizontal="center" vertical="center" wrapText="1"/>
    </xf>
    <xf numFmtId="49" fontId="142" fillId="14" borderId="7" xfId="0" applyNumberFormat="1" applyFont="1" applyFill="1" applyBorder="1" applyAlignment="1">
      <alignment horizontal="center" vertical="center" wrapText="1"/>
    </xf>
    <xf numFmtId="0" fontId="52" fillId="0" borderId="23" xfId="0" applyFont="1" applyBorder="1" applyAlignment="1">
      <alignment horizontal="right" vertical="center"/>
    </xf>
    <xf numFmtId="181" fontId="98" fillId="22" borderId="89" xfId="0" applyNumberFormat="1" applyFont="1" applyFill="1" applyBorder="1" applyAlignment="1">
      <alignment horizontal="center" vertical="center"/>
    </xf>
    <xf numFmtId="181" fontId="98" fillId="0" borderId="0" xfId="0" applyNumberFormat="1" applyFont="1" applyAlignment="1">
      <alignment horizontal="center" vertical="center"/>
    </xf>
    <xf numFmtId="0" fontId="16" fillId="0" borderId="19" xfId="0" applyFont="1" applyBorder="1" applyAlignment="1">
      <alignment horizontal="right" vertical="center"/>
    </xf>
    <xf numFmtId="164" fontId="92" fillId="0" borderId="31" xfId="0" applyNumberFormat="1" applyFont="1" applyBorder="1" applyAlignment="1">
      <alignment horizontal="center" vertical="center"/>
    </xf>
    <xf numFmtId="0" fontId="92" fillId="0" borderId="133" xfId="0" applyFont="1" applyBorder="1" applyAlignment="1">
      <alignment vertical="center"/>
    </xf>
    <xf numFmtId="0" fontId="12" fillId="0" borderId="0" xfId="0" applyFont="1" applyAlignment="1">
      <alignment horizontal="left" vertical="center" wrapText="1"/>
    </xf>
    <xf numFmtId="0" fontId="9" fillId="0" borderId="45" xfId="0" applyFont="1" applyBorder="1" applyAlignment="1">
      <alignment horizontal="right" vertical="center" wrapText="1"/>
    </xf>
    <xf numFmtId="0" fontId="96" fillId="0" borderId="17" xfId="0" applyFont="1" applyBorder="1" applyAlignment="1">
      <alignment horizontal="right" vertical="center"/>
    </xf>
    <xf numFmtId="0" fontId="172" fillId="0" borderId="37" xfId="0" applyFont="1" applyBorder="1" applyAlignment="1">
      <alignment horizontal="right" vertical="center"/>
    </xf>
    <xf numFmtId="172" fontId="325" fillId="22" borderId="144" xfId="0" applyNumberFormat="1" applyFont="1" applyFill="1" applyBorder="1" applyAlignment="1">
      <alignment horizontal="center" vertical="center"/>
    </xf>
    <xf numFmtId="172" fontId="325" fillId="0" borderId="0" xfId="0" applyNumberFormat="1" applyFont="1" applyAlignment="1">
      <alignment horizontal="center" vertical="center"/>
    </xf>
    <xf numFmtId="0" fontId="16" fillId="0" borderId="8" xfId="0" applyFont="1" applyBorder="1" applyAlignment="1">
      <alignment horizontal="right" vertical="center"/>
    </xf>
    <xf numFmtId="0" fontId="45" fillId="0" borderId="7" xfId="0" applyFont="1" applyBorder="1" applyAlignment="1">
      <alignment horizontal="center" vertical="center"/>
    </xf>
    <xf numFmtId="0" fontId="45" fillId="0" borderId="25" xfId="0" applyFont="1" applyBorder="1" applyAlignment="1">
      <alignment vertical="center"/>
    </xf>
    <xf numFmtId="0" fontId="12" fillId="0" borderId="21" xfId="0" applyFont="1" applyBorder="1" applyAlignment="1">
      <alignment horizontal="left" vertical="center"/>
    </xf>
    <xf numFmtId="0" fontId="147" fillId="0" borderId="21" xfId="0" applyFont="1" applyBorder="1" applyAlignment="1">
      <alignment horizontal="center" vertical="center"/>
    </xf>
    <xf numFmtId="0" fontId="142" fillId="0" borderId="3" xfId="0" applyFont="1" applyBorder="1" applyAlignment="1">
      <alignment horizontal="center" vertical="center"/>
    </xf>
    <xf numFmtId="0" fontId="96" fillId="0" borderId="3" xfId="0" applyFont="1" applyBorder="1" applyAlignment="1">
      <alignment horizontal="center" vertical="center"/>
    </xf>
    <xf numFmtId="0" fontId="16" fillId="0" borderId="4" xfId="0" applyFont="1" applyBorder="1" applyAlignment="1">
      <alignment horizontal="right" vertical="center"/>
    </xf>
    <xf numFmtId="0" fontId="98" fillId="22" borderId="76" xfId="0" applyFont="1" applyFill="1" applyBorder="1" applyAlignment="1">
      <alignment horizontal="center" vertical="center"/>
    </xf>
    <xf numFmtId="0" fontId="98" fillId="0" borderId="0" xfId="0" applyFont="1" applyAlignment="1">
      <alignment horizontal="center" vertical="center"/>
    </xf>
    <xf numFmtId="0" fontId="16" fillId="0" borderId="111" xfId="0" applyFont="1" applyBorder="1" applyAlignment="1">
      <alignment horizontal="center" vertical="center"/>
    </xf>
    <xf numFmtId="0" fontId="171" fillId="0" borderId="3" xfId="0" applyFont="1" applyBorder="1" applyAlignment="1">
      <alignment horizontal="right" vertical="center"/>
    </xf>
    <xf numFmtId="0" fontId="15" fillId="0" borderId="3" xfId="0" applyFont="1" applyBorder="1" applyAlignment="1">
      <alignment vertical="center"/>
    </xf>
    <xf numFmtId="0" fontId="178" fillId="0" borderId="19" xfId="0" applyFont="1" applyBorder="1"/>
    <xf numFmtId="0" fontId="15" fillId="0" borderId="0" xfId="0" applyFont="1" applyAlignment="1">
      <alignment vertical="center"/>
    </xf>
    <xf numFmtId="0" fontId="126" fillId="0" borderId="62" xfId="0" applyFont="1" applyBorder="1" applyAlignment="1">
      <alignment horizontal="left"/>
    </xf>
    <xf numFmtId="0" fontId="126" fillId="0" borderId="114" xfId="0" applyFont="1" applyBorder="1" applyAlignment="1">
      <alignment horizontal="left" vertical="center" wrapText="1"/>
    </xf>
    <xf numFmtId="0" fontId="9" fillId="0" borderId="62" xfId="0" applyFont="1" applyBorder="1" applyAlignment="1">
      <alignment horizontal="right" vertical="center"/>
    </xf>
    <xf numFmtId="0" fontId="135" fillId="0" borderId="62" xfId="0" applyFont="1" applyBorder="1" applyAlignment="1">
      <alignment horizontal="center" vertical="center" wrapText="1"/>
    </xf>
    <xf numFmtId="0" fontId="15" fillId="0" borderId="28" xfId="0" applyFont="1" applyBorder="1" applyAlignment="1">
      <alignment horizontal="right" vertical="center"/>
    </xf>
    <xf numFmtId="0" fontId="98" fillId="22" borderId="84" xfId="0" applyFont="1" applyFill="1" applyBorder="1" applyAlignment="1">
      <alignment horizontal="center" vertical="center" wrapText="1"/>
    </xf>
    <xf numFmtId="0" fontId="98" fillId="0" borderId="0" xfId="0" applyFont="1" applyAlignment="1">
      <alignment horizontal="center" vertical="center" wrapText="1"/>
    </xf>
    <xf numFmtId="0" fontId="91" fillId="0" borderId="43" xfId="0" applyFont="1" applyBorder="1"/>
    <xf numFmtId="0" fontId="66" fillId="0" borderId="16" xfId="0" applyFont="1" applyBorder="1" applyAlignment="1">
      <alignment vertical="center"/>
    </xf>
    <xf numFmtId="0" fontId="66" fillId="0" borderId="16" xfId="0" applyFont="1" applyBorder="1"/>
    <xf numFmtId="0" fontId="50" fillId="0" borderId="16" xfId="0" applyFont="1" applyBorder="1"/>
    <xf numFmtId="0" fontId="301" fillId="0" borderId="43" xfId="0" applyFont="1" applyBorder="1" applyAlignment="1">
      <alignment horizontal="right"/>
    </xf>
    <xf numFmtId="0" fontId="178" fillId="0" borderId="10" xfId="0" applyFont="1" applyBorder="1" applyAlignment="1">
      <alignment vertical="center"/>
    </xf>
    <xf numFmtId="0" fontId="66" fillId="0" borderId="114" xfId="0" applyFont="1" applyBorder="1" applyAlignment="1">
      <alignment vertical="center"/>
    </xf>
    <xf numFmtId="0" fontId="66" fillId="0" borderId="18" xfId="0" applyFont="1" applyBorder="1" applyAlignment="1">
      <alignment vertical="center"/>
    </xf>
    <xf numFmtId="0" fontId="126" fillId="0" borderId="27" xfId="0" applyFont="1" applyBorder="1" applyAlignment="1">
      <alignment horizontal="left" vertical="top"/>
    </xf>
    <xf numFmtId="0" fontId="126" fillId="0" borderId="24" xfId="0" applyFont="1" applyBorder="1" applyAlignment="1">
      <alignment horizontal="left" vertical="center" wrapText="1"/>
    </xf>
    <xf numFmtId="0" fontId="335" fillId="0" borderId="0" xfId="0" applyFont="1" applyAlignment="1">
      <alignment horizontal="right" vertical="top"/>
    </xf>
    <xf numFmtId="0" fontId="135" fillId="0" borderId="27" xfId="0" applyFont="1" applyBorder="1" applyAlignment="1">
      <alignment horizontal="center" vertical="center" wrapText="1"/>
    </xf>
    <xf numFmtId="0" fontId="125" fillId="0" borderId="28" xfId="0" applyFont="1" applyBorder="1" applyAlignment="1">
      <alignment horizontal="right" vertical="center"/>
    </xf>
    <xf numFmtId="0" fontId="98" fillId="22" borderId="107" xfId="0" applyFont="1" applyFill="1" applyBorder="1" applyAlignment="1">
      <alignment horizontal="center" vertical="center" wrapText="1"/>
    </xf>
    <xf numFmtId="0" fontId="16" fillId="0" borderId="0" xfId="0" applyFont="1" applyAlignment="1">
      <alignment horizontal="right" vertical="center"/>
    </xf>
    <xf numFmtId="0" fontId="16" fillId="0" borderId="114" xfId="0" applyFont="1" applyBorder="1"/>
    <xf numFmtId="0" fontId="16" fillId="0" borderId="114" xfId="0" applyFont="1" applyBorder="1" applyAlignment="1">
      <alignment horizontal="right"/>
    </xf>
    <xf numFmtId="0" fontId="297" fillId="0" borderId="114" xfId="0" applyFont="1" applyBorder="1" applyAlignment="1">
      <alignment horizontal="right"/>
    </xf>
    <xf numFmtId="1" fontId="75" fillId="0" borderId="114" xfId="0" applyNumberFormat="1" applyFont="1" applyBorder="1" applyAlignment="1">
      <alignment horizontal="left"/>
    </xf>
    <xf numFmtId="0" fontId="89" fillId="0" borderId="0" xfId="0" applyFont="1" applyAlignment="1">
      <alignment horizontal="left" vertical="center"/>
    </xf>
    <xf numFmtId="0" fontId="66" fillId="0" borderId="13" xfId="0" applyFont="1" applyBorder="1" applyAlignment="1">
      <alignment vertical="center"/>
    </xf>
    <xf numFmtId="0" fontId="147" fillId="0" borderId="134" xfId="0" applyFont="1" applyBorder="1" applyAlignment="1">
      <alignment horizontal="left" vertical="center"/>
    </xf>
    <xf numFmtId="49" fontId="147" fillId="0" borderId="21" xfId="0" applyNumberFormat="1" applyFont="1" applyBorder="1" applyAlignment="1">
      <alignment horizontal="center" vertical="center"/>
    </xf>
    <xf numFmtId="0" fontId="98" fillId="22" borderId="144" xfId="0" applyFont="1" applyFill="1" applyBorder="1" applyAlignment="1">
      <alignment horizontal="center" vertical="center"/>
    </xf>
    <xf numFmtId="0" fontId="16" fillId="0" borderId="14" xfId="0" applyFont="1" applyBorder="1" applyAlignment="1">
      <alignment horizontal="righ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66" fillId="0" borderId="0" xfId="0" applyFont="1" applyAlignment="1">
      <alignment vertical="top"/>
    </xf>
    <xf numFmtId="0" fontId="89" fillId="0" borderId="16" xfId="0" applyFont="1" applyBorder="1" applyAlignment="1">
      <alignment horizontal="right" vertical="top"/>
    </xf>
    <xf numFmtId="0" fontId="89" fillId="0" borderId="0" xfId="0" applyFont="1" applyAlignment="1">
      <alignment horizontal="left" vertical="top"/>
    </xf>
    <xf numFmtId="0" fontId="89" fillId="0" borderId="16" xfId="0" applyFont="1" applyBorder="1" applyAlignment="1">
      <alignment horizontal="left" vertical="center"/>
    </xf>
    <xf numFmtId="0" fontId="147" fillId="0" borderId="9" xfId="0" applyFont="1" applyBorder="1" applyAlignment="1">
      <alignment horizontal="left" vertical="center"/>
    </xf>
    <xf numFmtId="0" fontId="16" fillId="0" borderId="28" xfId="0" applyFont="1" applyBorder="1" applyAlignment="1">
      <alignment horizontal="right" vertical="center"/>
    </xf>
    <xf numFmtId="0" fontId="98" fillId="22" borderId="130" xfId="0" applyFont="1" applyFill="1" applyBorder="1" applyAlignment="1">
      <alignment horizontal="center" vertical="center"/>
    </xf>
    <xf numFmtId="0" fontId="210" fillId="0" borderId="0" xfId="0" applyFont="1" applyAlignment="1">
      <alignment horizontal="center" textRotation="90"/>
    </xf>
    <xf numFmtId="0" fontId="91" fillId="0" borderId="54" xfId="0" applyFont="1" applyBorder="1" applyAlignment="1">
      <alignment horizontal="left" vertical="top"/>
    </xf>
    <xf numFmtId="0" fontId="91" fillId="0" borderId="16" xfId="0" applyFont="1" applyBorder="1" applyAlignment="1">
      <alignment horizontal="left" vertical="top"/>
    </xf>
    <xf numFmtId="0" fontId="91" fillId="0" borderId="18" xfId="0" applyFont="1" applyBorder="1" applyAlignment="1">
      <alignment horizontal="left" vertical="top"/>
    </xf>
    <xf numFmtId="0" fontId="66" fillId="0" borderId="54" xfId="0" applyFont="1" applyBorder="1" applyAlignment="1">
      <alignment vertical="center"/>
    </xf>
    <xf numFmtId="0" fontId="66" fillId="0" borderId="5" xfId="0" applyFont="1" applyBorder="1" applyAlignment="1">
      <alignment vertical="center"/>
    </xf>
    <xf numFmtId="0" fontId="12" fillId="0" borderId="46" xfId="0" applyFont="1" applyBorder="1" applyAlignment="1">
      <alignment horizontal="left"/>
    </xf>
    <xf numFmtId="0" fontId="135" fillId="0" borderId="16" xfId="0" applyFont="1" applyBorder="1" applyAlignment="1">
      <alignment horizontal="center" vertical="center"/>
    </xf>
    <xf numFmtId="0" fontId="135" fillId="14" borderId="28" xfId="0" applyFont="1" applyFill="1" applyBorder="1" applyAlignment="1">
      <alignment horizontal="left" vertical="center"/>
    </xf>
    <xf numFmtId="0" fontId="97" fillId="0" borderId="0" xfId="0" applyFont="1" applyAlignment="1">
      <alignment horizontal="left" vertical="center" wrapText="1"/>
    </xf>
    <xf numFmtId="0" fontId="52" fillId="0" borderId="44" xfId="0" applyFont="1" applyBorder="1" applyAlignment="1">
      <alignment vertical="center"/>
    </xf>
    <xf numFmtId="0" fontId="147" fillId="0" borderId="24" xfId="0" applyFont="1" applyBorder="1" applyAlignment="1">
      <alignment horizontal="center" vertical="center"/>
    </xf>
    <xf numFmtId="0" fontId="66" fillId="0" borderId="23" xfId="0" applyFont="1" applyBorder="1" applyAlignment="1">
      <alignment vertical="center"/>
    </xf>
    <xf numFmtId="0" fontId="97" fillId="0" borderId="24" xfId="0" applyFont="1" applyBorder="1" applyAlignment="1">
      <alignment horizontal="left" vertical="top"/>
    </xf>
    <xf numFmtId="0" fontId="135" fillId="0" borderId="24" xfId="0" applyFont="1" applyBorder="1" applyAlignment="1">
      <alignment horizontal="center" vertical="top" wrapText="1"/>
    </xf>
    <xf numFmtId="0" fontId="16" fillId="0" borderId="22" xfId="0" applyFont="1" applyBorder="1" applyAlignment="1">
      <alignment horizontal="right" vertical="center"/>
    </xf>
    <xf numFmtId="0" fontId="89" fillId="0" borderId="0" xfId="0" applyFont="1" applyAlignment="1">
      <alignment vertical="center" wrapText="1"/>
    </xf>
    <xf numFmtId="0" fontId="12" fillId="0" borderId="16" xfId="0" applyFont="1" applyBorder="1" applyAlignment="1">
      <alignment horizontal="left" vertical="center"/>
    </xf>
    <xf numFmtId="0" fontId="96" fillId="0" borderId="21" xfId="0" applyFont="1" applyBorder="1" applyAlignment="1">
      <alignment horizontal="center" vertical="center"/>
    </xf>
    <xf numFmtId="0" fontId="52" fillId="0" borderId="3" xfId="0" applyFont="1" applyBorder="1" applyAlignment="1">
      <alignment horizontal="center" vertical="center"/>
    </xf>
    <xf numFmtId="0" fontId="52" fillId="0" borderId="3" xfId="0" applyFont="1" applyBorder="1" applyAlignment="1">
      <alignment horizontal="right" vertical="center"/>
    </xf>
    <xf numFmtId="0" fontId="14" fillId="0" borderId="0" xfId="0" applyFont="1" applyAlignment="1">
      <alignment horizontal="center" vertical="center" wrapText="1"/>
    </xf>
    <xf numFmtId="0" fontId="12" fillId="0" borderId="9" xfId="0" applyFont="1" applyBorder="1" applyAlignment="1">
      <alignment horizontal="left" vertical="center"/>
    </xf>
    <xf numFmtId="0" fontId="96" fillId="0" borderId="11" xfId="0" applyFont="1" applyBorder="1" applyAlignment="1">
      <alignment horizontal="center" vertical="center"/>
    </xf>
    <xf numFmtId="0" fontId="96" fillId="0" borderId="9" xfId="0" applyFont="1" applyBorder="1" applyAlignment="1">
      <alignment horizontal="center" vertical="center"/>
    </xf>
    <xf numFmtId="0" fontId="96" fillId="0" borderId="8" xfId="0" applyFont="1" applyBorder="1" applyAlignment="1">
      <alignment horizontal="center" vertical="center"/>
    </xf>
    <xf numFmtId="0" fontId="98" fillId="22" borderId="107" xfId="0" applyFont="1" applyFill="1" applyBorder="1" applyAlignment="1">
      <alignment horizontal="center" vertical="center"/>
    </xf>
    <xf numFmtId="0" fontId="79" fillId="0" borderId="51" xfId="0" applyFont="1" applyBorder="1" applyAlignment="1">
      <alignment horizontal="left" vertical="center" textRotation="90"/>
    </xf>
    <xf numFmtId="0" fontId="78" fillId="0" borderId="0" xfId="0" applyFont="1" applyAlignment="1">
      <alignment horizontal="right" vertical="center"/>
    </xf>
    <xf numFmtId="0" fontId="73" fillId="0" borderId="0" xfId="0" applyFont="1" applyAlignment="1">
      <alignment vertical="center"/>
    </xf>
    <xf numFmtId="0" fontId="4" fillId="0" borderId="0" xfId="0" applyFont="1" applyAlignment="1">
      <alignment horizontal="left" vertical="center" wrapText="1"/>
    </xf>
    <xf numFmtId="0" fontId="14" fillId="0" borderId="129" xfId="0" applyFont="1" applyBorder="1" applyAlignment="1">
      <alignment vertical="center"/>
    </xf>
    <xf numFmtId="0" fontId="14" fillId="0" borderId="17" xfId="0" applyFont="1" applyBorder="1" applyAlignment="1">
      <alignment vertical="center"/>
    </xf>
    <xf numFmtId="0" fontId="16" fillId="0" borderId="17" xfId="0" applyFont="1" applyBorder="1" applyAlignment="1">
      <alignment horizontal="right" vertical="center"/>
    </xf>
    <xf numFmtId="0" fontId="45" fillId="0" borderId="17" xfId="0" applyFont="1" applyBorder="1" applyAlignment="1">
      <alignment horizontal="center" vertical="center"/>
    </xf>
    <xf numFmtId="0" fontId="52" fillId="0" borderId="17" xfId="0" applyFont="1" applyBorder="1" applyAlignment="1">
      <alignment horizontal="right" vertical="center"/>
    </xf>
    <xf numFmtId="0" fontId="9" fillId="0" borderId="37" xfId="0" applyFont="1" applyBorder="1" applyAlignment="1">
      <alignment horizontal="right" vertical="center"/>
    </xf>
    <xf numFmtId="0" fontId="98" fillId="22" borderId="112" xfId="0" applyFont="1" applyFill="1" applyBorder="1" applyAlignment="1">
      <alignment horizontal="center" vertical="center" wrapText="1"/>
    </xf>
    <xf numFmtId="0" fontId="75" fillId="0" borderId="51" xfId="0" applyFont="1" applyBorder="1" applyAlignment="1">
      <alignment horizontal="center" vertical="center"/>
    </xf>
    <xf numFmtId="0" fontId="89" fillId="0" borderId="0" xfId="0" applyFont="1" applyAlignment="1">
      <alignment horizontal="right" vertical="center"/>
    </xf>
    <xf numFmtId="0" fontId="69" fillId="0" borderId="0" xfId="0" applyFont="1" applyAlignment="1">
      <alignment horizontal="left" vertical="center"/>
    </xf>
    <xf numFmtId="0" fontId="14" fillId="0" borderId="158" xfId="0" applyFont="1" applyBorder="1" applyAlignment="1">
      <alignment horizontal="center" vertical="center" textRotation="90"/>
    </xf>
    <xf numFmtId="0" fontId="66" fillId="0" borderId="131" xfId="0" applyFont="1" applyBorder="1" applyAlignment="1">
      <alignment vertical="center"/>
    </xf>
    <xf numFmtId="0" fontId="2" fillId="0" borderId="197" xfId="0" applyFont="1" applyBorder="1" applyAlignment="1">
      <alignment vertical="center"/>
    </xf>
    <xf numFmtId="0" fontId="2" fillId="0" borderId="72" xfId="0" applyFont="1" applyBorder="1" applyAlignment="1">
      <alignment vertical="center"/>
    </xf>
    <xf numFmtId="0" fontId="9" fillId="0" borderId="72" xfId="0" applyFont="1" applyBorder="1" applyAlignment="1">
      <alignment horizontal="right" vertical="center" wrapText="1"/>
    </xf>
    <xf numFmtId="0" fontId="66" fillId="0" borderId="72" xfId="0" applyFont="1" applyBorder="1" applyAlignment="1">
      <alignment vertical="center"/>
    </xf>
    <xf numFmtId="0" fontId="96" fillId="0" borderId="72" xfId="0" applyFont="1" applyBorder="1" applyAlignment="1">
      <alignment horizontal="center" vertical="center"/>
    </xf>
    <xf numFmtId="0" fontId="95" fillId="0" borderId="72" xfId="0" applyFont="1" applyBorder="1" applyAlignment="1">
      <alignment horizontal="right" vertical="center"/>
    </xf>
    <xf numFmtId="0" fontId="130" fillId="0" borderId="198" xfId="0" applyFont="1" applyBorder="1" applyAlignment="1">
      <alignment horizontal="right" vertical="center" wrapText="1"/>
    </xf>
    <xf numFmtId="0" fontId="98" fillId="22" borderId="199" xfId="0" applyFont="1" applyFill="1" applyBorder="1" applyAlignment="1">
      <alignment horizontal="center" vertical="center"/>
    </xf>
    <xf numFmtId="0" fontId="148" fillId="14" borderId="51" xfId="0" applyFont="1" applyFill="1" applyBorder="1" applyAlignment="1">
      <alignment horizontal="left"/>
    </xf>
    <xf numFmtId="0" fontId="79" fillId="14" borderId="28" xfId="0" applyFont="1" applyFill="1" applyBorder="1" applyAlignment="1">
      <alignment horizontal="left"/>
    </xf>
    <xf numFmtId="0" fontId="135" fillId="0" borderId="0" xfId="0" applyFont="1" applyAlignment="1">
      <alignment horizontal="right"/>
    </xf>
    <xf numFmtId="0" fontId="75" fillId="0" borderId="0" xfId="0" applyFont="1" applyAlignment="1">
      <alignment horizontal="center" vertical="center"/>
    </xf>
    <xf numFmtId="49" fontId="149" fillId="0" borderId="0" xfId="0" applyNumberFormat="1" applyFont="1" applyAlignment="1">
      <alignment horizontal="center" vertical="center"/>
    </xf>
    <xf numFmtId="0" fontId="14" fillId="0" borderId="103" xfId="0" applyFont="1" applyBorder="1" applyAlignment="1">
      <alignment horizontal="center" vertical="center" textRotation="90"/>
    </xf>
    <xf numFmtId="0" fontId="66" fillId="0" borderId="103" xfId="0" applyFont="1" applyBorder="1" applyAlignment="1">
      <alignment vertical="center"/>
    </xf>
    <xf numFmtId="0" fontId="66" fillId="0" borderId="169" xfId="0" applyFont="1" applyBorder="1" applyAlignment="1">
      <alignment vertical="center"/>
    </xf>
    <xf numFmtId="0" fontId="361" fillId="0" borderId="0" xfId="0" applyFont="1" applyAlignment="1">
      <alignment horizontal="center" vertical="center" wrapText="1"/>
    </xf>
    <xf numFmtId="0" fontId="2" fillId="0" borderId="0" xfId="0" applyFont="1" applyAlignment="1">
      <alignment horizontal="center" vertical="center" textRotation="90" wrapText="1"/>
    </xf>
    <xf numFmtId="0" fontId="102" fillId="0" borderId="51" xfId="0" applyFont="1" applyBorder="1" applyAlignment="1">
      <alignment horizontal="left" vertical="center"/>
    </xf>
    <xf numFmtId="0" fontId="138" fillId="0" borderId="0" xfId="0" applyFont="1" applyAlignment="1">
      <alignment vertical="center"/>
    </xf>
    <xf numFmtId="49" fontId="142" fillId="0" borderId="0" xfId="0" applyNumberFormat="1" applyFont="1" applyAlignment="1">
      <alignment horizontal="center" vertical="center"/>
    </xf>
    <xf numFmtId="0" fontId="146" fillId="0" borderId="43" xfId="0" applyFont="1" applyBorder="1" applyAlignment="1">
      <alignment horizontal="left" vertical="center"/>
    </xf>
    <xf numFmtId="0" fontId="91" fillId="0" borderId="16" xfId="0" applyFont="1" applyBorder="1" applyAlignment="1">
      <alignment vertical="center"/>
    </xf>
    <xf numFmtId="0" fontId="329" fillId="0" borderId="16" xfId="0" applyFont="1" applyBorder="1" applyAlignment="1">
      <alignment horizontal="right" vertical="center"/>
    </xf>
    <xf numFmtId="0" fontId="125" fillId="0" borderId="18" xfId="0" applyFont="1" applyBorder="1" applyAlignment="1">
      <alignment horizontal="right" vertical="center" wrapText="1"/>
    </xf>
    <xf numFmtId="188" fontId="353" fillId="22" borderId="84" xfId="0" applyNumberFormat="1" applyFont="1" applyFill="1" applyBorder="1" applyAlignment="1">
      <alignment horizontal="center" vertical="center" wrapText="1"/>
    </xf>
    <xf numFmtId="188" fontId="353" fillId="0" borderId="0" xfId="0" applyNumberFormat="1" applyFont="1" applyAlignment="1">
      <alignment horizontal="center" vertical="center" wrapText="1"/>
    </xf>
    <xf numFmtId="0" fontId="148" fillId="14" borderId="51" xfId="0" applyFont="1" applyFill="1" applyBorder="1" applyAlignment="1">
      <alignment vertical="center"/>
    </xf>
    <xf numFmtId="0" fontId="79" fillId="0" borderId="44" xfId="0" applyFont="1" applyBorder="1" applyAlignment="1">
      <alignment horizontal="left" vertical="center" textRotation="90"/>
    </xf>
    <xf numFmtId="0" fontId="32" fillId="0" borderId="24" xfId="0" applyFont="1" applyBorder="1" applyAlignment="1">
      <alignment vertical="center"/>
    </xf>
    <xf numFmtId="0" fontId="353" fillId="0" borderId="24" xfId="0" applyFont="1" applyBorder="1" applyAlignment="1">
      <alignment horizontal="left"/>
    </xf>
    <xf numFmtId="0" fontId="365" fillId="0" borderId="22" xfId="0" applyFont="1" applyBorder="1" applyAlignment="1">
      <alignment vertical="center"/>
    </xf>
    <xf numFmtId="0" fontId="106" fillId="0" borderId="43" xfId="0" applyFont="1" applyBorder="1" applyAlignment="1">
      <alignment horizontal="left" vertical="center"/>
    </xf>
    <xf numFmtId="168" fontId="96" fillId="0" borderId="16" xfId="0" applyNumberFormat="1" applyFont="1" applyBorder="1" applyAlignment="1">
      <alignment horizontal="center" vertical="center"/>
    </xf>
    <xf numFmtId="0" fontId="148" fillId="0" borderId="16" xfId="0" applyFont="1" applyBorder="1" applyAlignment="1">
      <alignment horizontal="right" vertical="center"/>
    </xf>
    <xf numFmtId="0" fontId="16" fillId="0" borderId="18" xfId="0" applyFont="1" applyBorder="1" applyAlignment="1">
      <alignment horizontal="right" vertical="center"/>
    </xf>
    <xf numFmtId="170" fontId="353" fillId="22" borderId="84" xfId="0" applyNumberFormat="1" applyFont="1" applyFill="1" applyBorder="1" applyAlignment="1">
      <alignment horizontal="center" vertical="center" wrapText="1"/>
    </xf>
    <xf numFmtId="170" fontId="353" fillId="0" borderId="0" xfId="0" applyNumberFormat="1" applyFont="1" applyAlignment="1">
      <alignment horizontal="center" vertical="center" wrapText="1"/>
    </xf>
    <xf numFmtId="0" fontId="97" fillId="0" borderId="44" xfId="0" applyFont="1" applyBorder="1" applyAlignment="1">
      <alignment horizontal="left" vertical="center" wrapText="1"/>
    </xf>
    <xf numFmtId="0" fontId="66" fillId="0" borderId="22" xfId="0" applyFont="1" applyBorder="1" applyAlignment="1">
      <alignment vertical="center"/>
    </xf>
    <xf numFmtId="0" fontId="368" fillId="0" borderId="16" xfId="0" applyFont="1" applyBorder="1" applyAlignment="1">
      <alignment horizontal="center" vertical="center"/>
    </xf>
    <xf numFmtId="185" fontId="336" fillId="22" borderId="84" xfId="0" applyNumberFormat="1" applyFont="1" applyFill="1" applyBorder="1" applyAlignment="1">
      <alignment horizontal="center" vertical="center"/>
    </xf>
    <xf numFmtId="185" fontId="336" fillId="0" borderId="0" xfId="0" applyNumberFormat="1" applyFont="1" applyAlignment="1">
      <alignment horizontal="center" vertical="center"/>
    </xf>
    <xf numFmtId="0" fontId="135" fillId="27" borderId="51" xfId="0" applyFont="1" applyFill="1" applyBorder="1" applyAlignment="1">
      <alignment vertical="center"/>
    </xf>
    <xf numFmtId="0" fontId="356" fillId="0" borderId="0" xfId="0" applyFont="1" applyAlignment="1">
      <alignment horizontal="left"/>
    </xf>
    <xf numFmtId="0" fontId="136" fillId="0" borderId="0" xfId="0" applyFont="1" applyAlignment="1">
      <alignment horizontal="right" vertical="top"/>
    </xf>
    <xf numFmtId="49" fontId="66" fillId="0" borderId="0" xfId="0" applyNumberFormat="1" applyFont="1" applyAlignment="1">
      <alignment vertical="center"/>
    </xf>
    <xf numFmtId="0" fontId="289" fillId="0" borderId="10" xfId="0" applyFont="1" applyBorder="1" applyAlignment="1">
      <alignment horizontal="center" vertical="center" wrapText="1"/>
    </xf>
    <xf numFmtId="0" fontId="353" fillId="22" borderId="84" xfId="0" applyFont="1" applyFill="1" applyBorder="1" applyAlignment="1">
      <alignment horizontal="center" vertical="center" wrapText="1"/>
    </xf>
    <xf numFmtId="0" fontId="353" fillId="0" borderId="0" xfId="0" applyFont="1" applyAlignment="1">
      <alignment horizontal="center" vertical="center" wrapText="1"/>
    </xf>
    <xf numFmtId="0" fontId="146" fillId="0" borderId="16" xfId="0" applyFont="1" applyBorder="1" applyAlignment="1">
      <alignment horizontal="right" vertical="center" wrapText="1"/>
    </xf>
    <xf numFmtId="0" fontId="312" fillId="0" borderId="16" xfId="0" applyFont="1" applyBorder="1" applyAlignment="1">
      <alignment horizontal="right" vertical="top"/>
    </xf>
    <xf numFmtId="0" fontId="312" fillId="0" borderId="5" xfId="0" applyFont="1" applyBorder="1" applyAlignment="1">
      <alignment horizontal="left" vertical="top"/>
    </xf>
    <xf numFmtId="0" fontId="16" fillId="0" borderId="13" xfId="0" applyFont="1" applyBorder="1" applyAlignment="1">
      <alignment horizontal="right" vertical="center"/>
    </xf>
    <xf numFmtId="0" fontId="353" fillId="22" borderId="77" xfId="0" applyFont="1" applyFill="1" applyBorder="1" applyAlignment="1">
      <alignment horizontal="center" vertical="center" wrapText="1"/>
    </xf>
    <xf numFmtId="0" fontId="363" fillId="0" borderId="0" xfId="0" applyFont="1" applyAlignment="1">
      <alignment horizontal="left" vertical="top"/>
    </xf>
    <xf numFmtId="0" fontId="146" fillId="0" borderId="54" xfId="0" applyFont="1" applyBorder="1" applyAlignment="1">
      <alignment horizontal="left" vertical="center"/>
    </xf>
    <xf numFmtId="0" fontId="68" fillId="0" borderId="5" xfId="0" applyFont="1" applyBorder="1" applyAlignment="1">
      <alignment horizontal="center" vertical="center"/>
    </xf>
    <xf numFmtId="0" fontId="2" fillId="0" borderId="5" xfId="0" applyFont="1" applyBorder="1" applyAlignment="1">
      <alignment horizontal="left" vertical="center" indent="1"/>
    </xf>
    <xf numFmtId="0" fontId="135" fillId="0" borderId="5" xfId="0" applyFont="1" applyBorder="1" applyAlignment="1">
      <alignment horizontal="right" vertical="center"/>
    </xf>
    <xf numFmtId="0" fontId="362" fillId="0" borderId="0" xfId="0" applyFont="1" applyAlignment="1">
      <alignment horizontal="center" vertical="center" wrapText="1"/>
    </xf>
    <xf numFmtId="0" fontId="32" fillId="0" borderId="44" xfId="0" applyFont="1" applyBorder="1" applyAlignment="1">
      <alignment vertical="center"/>
    </xf>
    <xf numFmtId="0" fontId="9" fillId="0" borderId="13" xfId="0" applyFont="1" applyBorder="1" applyAlignment="1">
      <alignment horizontal="right" vertical="center"/>
    </xf>
    <xf numFmtId="0" fontId="148" fillId="14" borderId="51" xfId="0" applyFont="1" applyFill="1" applyBorder="1" applyAlignment="1">
      <alignment horizontal="left" vertical="center"/>
    </xf>
    <xf numFmtId="0" fontId="375" fillId="9" borderId="0" xfId="0" applyFont="1" applyFill="1" applyAlignment="1">
      <alignment horizontal="right" vertical="center"/>
    </xf>
    <xf numFmtId="0" fontId="66" fillId="9" borderId="28" xfId="0" applyFont="1" applyFill="1" applyBorder="1" applyAlignment="1">
      <alignment vertical="center"/>
    </xf>
    <xf numFmtId="0" fontId="146" fillId="0" borderId="158" xfId="0" applyFont="1" applyBorder="1" applyAlignment="1">
      <alignment horizontal="left" vertical="center"/>
    </xf>
    <xf numFmtId="0" fontId="68" fillId="0" borderId="0" xfId="0" applyFont="1" applyAlignment="1">
      <alignment horizontal="center" vertical="center"/>
    </xf>
    <xf numFmtId="0" fontId="2" fillId="0" borderId="0" xfId="0" applyFont="1" applyAlignment="1">
      <alignment horizontal="left" vertical="center" indent="1"/>
    </xf>
    <xf numFmtId="0" fontId="135" fillId="0" borderId="0" xfId="0" applyFont="1" applyAlignment="1">
      <alignment horizontal="right" vertical="center"/>
    </xf>
    <xf numFmtId="0" fontId="9" fillId="0" borderId="82" xfId="0" applyFont="1" applyBorder="1" applyAlignment="1">
      <alignment horizontal="right" vertical="center"/>
    </xf>
    <xf numFmtId="0" fontId="353" fillId="22" borderId="201" xfId="0" applyFont="1" applyFill="1" applyBorder="1" applyAlignment="1">
      <alignment horizontal="center" vertical="center" wrapText="1"/>
    </xf>
    <xf numFmtId="0" fontId="132" fillId="8" borderId="168" xfId="0" applyFont="1" applyFill="1" applyBorder="1" applyAlignment="1">
      <alignment vertical="center"/>
    </xf>
    <xf numFmtId="0" fontId="132" fillId="8" borderId="103" xfId="0" applyFont="1" applyFill="1" applyBorder="1" applyAlignment="1">
      <alignment vertical="center"/>
    </xf>
    <xf numFmtId="0" fontId="16" fillId="8" borderId="104" xfId="0" applyFont="1" applyFill="1" applyBorder="1" applyAlignment="1">
      <alignment vertical="center"/>
    </xf>
    <xf numFmtId="0" fontId="161" fillId="8" borderId="104" xfId="0" applyFont="1" applyFill="1" applyBorder="1" applyAlignment="1">
      <alignment horizontal="right" vertical="center"/>
    </xf>
    <xf numFmtId="0" fontId="374" fillId="8" borderId="169" xfId="0" applyFont="1" applyFill="1" applyBorder="1" applyAlignment="1">
      <alignment horizontal="center" vertical="center"/>
    </xf>
    <xf numFmtId="0" fontId="374" fillId="0" borderId="0" xfId="0" applyFont="1" applyAlignment="1">
      <alignment horizontal="center" vertical="center"/>
    </xf>
    <xf numFmtId="0" fontId="310" fillId="14" borderId="51" xfId="0" applyFont="1" applyFill="1" applyBorder="1" applyAlignment="1">
      <alignment horizontal="left"/>
    </xf>
    <xf numFmtId="0" fontId="38" fillId="14" borderId="28" xfId="0" applyFont="1" applyFill="1" applyBorder="1" applyAlignment="1">
      <alignment horizontal="right" vertical="center"/>
    </xf>
    <xf numFmtId="0" fontId="32" fillId="9" borderId="44" xfId="0" applyFont="1" applyFill="1" applyBorder="1" applyAlignment="1">
      <alignment vertical="center"/>
    </xf>
    <xf numFmtId="0" fontId="385" fillId="9" borderId="24" xfId="0" applyFont="1" applyFill="1" applyBorder="1" applyAlignment="1">
      <alignment vertical="top"/>
    </xf>
    <xf numFmtId="0" fontId="32" fillId="9" borderId="24" xfId="0" applyFont="1" applyFill="1" applyBorder="1" applyAlignment="1">
      <alignment vertical="center"/>
    </xf>
    <xf numFmtId="0" fontId="3" fillId="9" borderId="24" xfId="0" applyFont="1" applyFill="1" applyBorder="1" applyAlignment="1">
      <alignment horizontal="left" vertical="top" wrapText="1"/>
    </xf>
    <xf numFmtId="0" fontId="3" fillId="9" borderId="22" xfId="0" applyFont="1" applyFill="1" applyBorder="1" applyAlignment="1">
      <alignment horizontal="left"/>
    </xf>
    <xf numFmtId="0" fontId="66" fillId="33" borderId="40" xfId="0" applyFont="1" applyFill="1" applyBorder="1" applyAlignment="1">
      <alignment vertical="center"/>
    </xf>
    <xf numFmtId="0" fontId="66" fillId="33" borderId="4" xfId="0" applyFont="1" applyFill="1" applyBorder="1" applyAlignment="1">
      <alignment vertical="center"/>
    </xf>
    <xf numFmtId="0" fontId="11" fillId="33" borderId="40" xfId="0" applyFont="1" applyFill="1" applyBorder="1" applyAlignment="1">
      <alignment horizontal="center" vertical="center"/>
    </xf>
    <xf numFmtId="0" fontId="13" fillId="33" borderId="3" xfId="0" applyFont="1" applyFill="1" applyBorder="1" applyAlignment="1">
      <alignment horizontal="center" vertical="center"/>
    </xf>
    <xf numFmtId="0" fontId="13" fillId="33" borderId="4" xfId="0" applyFont="1" applyFill="1" applyBorder="1" applyAlignment="1">
      <alignment horizontal="center" vertical="center"/>
    </xf>
    <xf numFmtId="0" fontId="13" fillId="0" borderId="0" xfId="0" applyFont="1" applyAlignment="1">
      <alignment horizontal="center" vertical="center"/>
    </xf>
    <xf numFmtId="0" fontId="32" fillId="14" borderId="22" xfId="0" applyFont="1" applyFill="1" applyBorder="1" applyAlignment="1">
      <alignment vertical="center"/>
    </xf>
    <xf numFmtId="0" fontId="346" fillId="0" borderId="0" xfId="0" applyFont="1" applyAlignment="1">
      <alignment vertical="top"/>
    </xf>
    <xf numFmtId="0" fontId="14" fillId="12" borderId="16" xfId="0" applyFont="1" applyFill="1" applyBorder="1" applyAlignment="1">
      <alignment horizontal="right" vertical="center"/>
    </xf>
    <xf numFmtId="0" fontId="215" fillId="12" borderId="16" xfId="0" applyFont="1" applyFill="1" applyBorder="1" applyAlignment="1">
      <alignment horizontal="center" vertical="center"/>
    </xf>
    <xf numFmtId="0" fontId="198" fillId="12" borderId="18" xfId="0" applyFont="1" applyFill="1" applyBorder="1" applyAlignment="1">
      <alignment horizontal="left" vertical="center"/>
    </xf>
    <xf numFmtId="165" fontId="215" fillId="12" borderId="16" xfId="0" applyNumberFormat="1" applyFont="1" applyFill="1" applyBorder="1" applyAlignment="1">
      <alignment horizontal="center" vertical="center"/>
    </xf>
    <xf numFmtId="0" fontId="198" fillId="12" borderId="18" xfId="0" applyFont="1" applyFill="1" applyBorder="1" applyAlignment="1">
      <alignment horizontal="left" vertical="center" wrapText="1"/>
    </xf>
    <xf numFmtId="0" fontId="14" fillId="12" borderId="43" xfId="0" applyFont="1" applyFill="1" applyBorder="1" applyAlignment="1">
      <alignment horizontal="right" vertical="center"/>
    </xf>
    <xf numFmtId="0" fontId="198" fillId="12" borderId="16" xfId="0" applyFont="1" applyFill="1" applyBorder="1" applyAlignment="1">
      <alignment horizontal="left" vertical="center"/>
    </xf>
    <xf numFmtId="0" fontId="2" fillId="12" borderId="16" xfId="0" applyFont="1" applyFill="1" applyBorder="1" applyAlignment="1">
      <alignment horizontal="right" vertical="center"/>
    </xf>
    <xf numFmtId="164" fontId="9" fillId="12" borderId="13" xfId="0" applyNumberFormat="1" applyFont="1" applyFill="1" applyBorder="1" applyAlignment="1">
      <alignment horizontal="left" vertical="center"/>
    </xf>
    <xf numFmtId="164" fontId="9" fillId="0" borderId="0" xfId="0" applyNumberFormat="1" applyFont="1" applyAlignment="1">
      <alignment horizontal="left" vertical="center"/>
    </xf>
    <xf numFmtId="0" fontId="380" fillId="0" borderId="45" xfId="0" applyFont="1" applyBorder="1" applyAlignment="1">
      <alignment horizontal="left" vertical="center"/>
    </xf>
    <xf numFmtId="0" fontId="97" fillId="0" borderId="0" xfId="0" applyFont="1" applyAlignment="1">
      <alignment horizontal="left" vertical="center" textRotation="90" wrapText="1"/>
    </xf>
    <xf numFmtId="0" fontId="30" fillId="0" borderId="0" xfId="0" applyFont="1" applyAlignment="1">
      <alignment horizontal="left" vertical="center" wrapText="1"/>
    </xf>
    <xf numFmtId="0" fontId="30" fillId="0" borderId="28" xfId="0" applyFont="1" applyBorder="1" applyAlignment="1">
      <alignment horizontal="left" vertical="center" wrapText="1"/>
    </xf>
    <xf numFmtId="0" fontId="15" fillId="35" borderId="44" xfId="0" applyFont="1" applyFill="1" applyBorder="1" applyAlignment="1">
      <alignment vertical="center"/>
    </xf>
    <xf numFmtId="0" fontId="106" fillId="35" borderId="24" xfId="0" applyFont="1" applyFill="1" applyBorder="1" applyAlignment="1">
      <alignment horizontal="right" vertical="center"/>
    </xf>
    <xf numFmtId="0" fontId="106" fillId="35" borderId="18" xfId="0" applyFont="1" applyFill="1" applyBorder="1" applyAlignment="1">
      <alignment horizontal="right" vertical="center"/>
    </xf>
    <xf numFmtId="0" fontId="14" fillId="35" borderId="16" xfId="0" applyFont="1" applyFill="1" applyBorder="1" applyAlignment="1">
      <alignment horizontal="right" vertical="center"/>
    </xf>
    <xf numFmtId="165" fontId="12" fillId="35" borderId="16" xfId="0" applyNumberFormat="1" applyFont="1" applyFill="1" applyBorder="1" applyAlignment="1">
      <alignment horizontal="center" vertical="center"/>
    </xf>
    <xf numFmtId="0" fontId="198" fillId="35" borderId="18" xfId="0" applyFont="1" applyFill="1" applyBorder="1" applyAlignment="1">
      <alignment horizontal="left" vertical="center" wrapText="1"/>
    </xf>
    <xf numFmtId="0" fontId="14" fillId="35" borderId="43" xfId="0" applyFont="1" applyFill="1" applyBorder="1" applyAlignment="1">
      <alignment horizontal="right" vertical="center"/>
    </xf>
    <xf numFmtId="165" fontId="19" fillId="35" borderId="5" xfId="0" applyNumberFormat="1" applyFont="1" applyFill="1" applyBorder="1" applyAlignment="1">
      <alignment horizontal="center" vertical="center"/>
    </xf>
    <xf numFmtId="165" fontId="200" fillId="35" borderId="5" xfId="0" applyNumberFormat="1" applyFont="1" applyFill="1" applyBorder="1" applyAlignment="1">
      <alignment horizontal="left" vertical="center"/>
    </xf>
    <xf numFmtId="0" fontId="2" fillId="35" borderId="16" xfId="0" applyFont="1" applyFill="1" applyBorder="1" applyAlignment="1">
      <alignment horizontal="right" vertical="center"/>
    </xf>
    <xf numFmtId="164" fontId="16" fillId="35" borderId="13" xfId="0" applyNumberFormat="1" applyFont="1" applyFill="1" applyBorder="1" applyAlignment="1">
      <alignment horizontal="left" vertical="center"/>
    </xf>
    <xf numFmtId="164" fontId="16" fillId="0" borderId="0" xfId="0" applyNumberFormat="1" applyFont="1" applyAlignment="1">
      <alignment horizontal="left" vertical="center"/>
    </xf>
    <xf numFmtId="0" fontId="380" fillId="0" borderId="0" xfId="0" applyFont="1" applyAlignment="1">
      <alignment horizontal="left" vertical="center"/>
    </xf>
    <xf numFmtId="0" fontId="12" fillId="0" borderId="200" xfId="0" applyFont="1" applyBorder="1" applyAlignment="1">
      <alignment horizontal="left" vertical="center" wrapText="1" indent="1"/>
    </xf>
    <xf numFmtId="0" fontId="188" fillId="10" borderId="8" xfId="0" applyFont="1" applyFill="1" applyBorder="1" applyAlignment="1">
      <alignment horizontal="right" vertical="center"/>
    </xf>
    <xf numFmtId="165" fontId="188" fillId="10" borderId="8" xfId="0" applyNumberFormat="1" applyFont="1" applyFill="1" applyBorder="1" applyAlignment="1">
      <alignment horizontal="left" vertical="center"/>
    </xf>
    <xf numFmtId="192" fontId="188" fillId="10" borderId="23" xfId="0" applyNumberFormat="1" applyFont="1" applyFill="1" applyBorder="1" applyAlignment="1">
      <alignment horizontal="left" vertical="center"/>
    </xf>
    <xf numFmtId="192" fontId="188" fillId="0" borderId="0" xfId="0" applyNumberFormat="1" applyFont="1" applyAlignment="1">
      <alignment horizontal="left" vertical="center"/>
    </xf>
    <xf numFmtId="0" fontId="276" fillId="0" borderId="0" xfId="0" applyFont="1" applyAlignment="1">
      <alignment vertical="center"/>
    </xf>
    <xf numFmtId="0" fontId="146" fillId="6" borderId="39" xfId="0" applyFont="1" applyFill="1" applyBorder="1" applyAlignment="1">
      <alignment horizontal="left" vertical="center" wrapText="1" indent="1"/>
    </xf>
    <xf numFmtId="0" fontId="9" fillId="18" borderId="56" xfId="0" applyFont="1" applyFill="1" applyBorder="1" applyAlignment="1">
      <alignment horizontal="right" vertical="center"/>
    </xf>
    <xf numFmtId="173" fontId="185" fillId="18" borderId="56" xfId="0" applyNumberFormat="1" applyFont="1" applyFill="1" applyBorder="1" applyAlignment="1">
      <alignment horizontal="left" vertical="center"/>
    </xf>
    <xf numFmtId="0" fontId="189" fillId="18" borderId="39" xfId="0" applyFont="1" applyFill="1" applyBorder="1" applyAlignment="1">
      <alignment horizontal="right" vertical="center"/>
    </xf>
    <xf numFmtId="0" fontId="45" fillId="18" borderId="39" xfId="0" applyFont="1" applyFill="1" applyBorder="1" applyAlignment="1">
      <alignment horizontal="left" wrapText="1"/>
    </xf>
    <xf numFmtId="173" fontId="185" fillId="18" borderId="212" xfId="0" applyNumberFormat="1" applyFont="1" applyFill="1" applyBorder="1" applyAlignment="1">
      <alignment horizontal="left" vertical="center"/>
    </xf>
    <xf numFmtId="0" fontId="329" fillId="0" borderId="107" xfId="0" applyFont="1" applyBorder="1" applyAlignment="1">
      <alignment horizontal="center" vertical="top"/>
    </xf>
    <xf numFmtId="0" fontId="351" fillId="0" borderId="0" xfId="0" applyFont="1" applyAlignment="1">
      <alignment vertical="center"/>
    </xf>
    <xf numFmtId="0" fontId="388" fillId="0" borderId="0" xfId="0" applyFont="1" applyAlignment="1">
      <alignment vertical="center"/>
    </xf>
    <xf numFmtId="170" fontId="186" fillId="0" borderId="18" xfId="0" applyNumberFormat="1" applyFont="1" applyBorder="1" applyAlignment="1">
      <alignment horizontal="left" vertical="center"/>
    </xf>
    <xf numFmtId="0" fontId="357" fillId="0" borderId="28" xfId="0" applyFont="1" applyBorder="1" applyAlignment="1">
      <alignment horizontal="center" vertical="center"/>
    </xf>
    <xf numFmtId="0" fontId="153" fillId="0" borderId="0" xfId="0" applyFont="1" applyAlignment="1">
      <alignment horizontal="left" vertical="center"/>
    </xf>
    <xf numFmtId="170" fontId="186" fillId="0" borderId="22" xfId="0" applyNumberFormat="1" applyFont="1" applyBorder="1" applyAlignment="1">
      <alignment horizontal="left" vertical="center"/>
    </xf>
    <xf numFmtId="0" fontId="66" fillId="31" borderId="51" xfId="0" applyFont="1" applyFill="1" applyBorder="1" applyAlignment="1">
      <alignment vertical="center"/>
    </xf>
    <xf numFmtId="0" fontId="189" fillId="31" borderId="0" xfId="0" applyFont="1" applyFill="1" applyAlignment="1">
      <alignment horizontal="left"/>
    </xf>
    <xf numFmtId="0" fontId="66" fillId="31" borderId="28" xfId="0" applyFont="1" applyFill="1" applyBorder="1" applyAlignment="1">
      <alignment vertical="center"/>
    </xf>
    <xf numFmtId="192" fontId="219" fillId="8" borderId="46" xfId="0" applyNumberFormat="1" applyFont="1" applyFill="1" applyBorder="1" applyAlignment="1">
      <alignment horizontal="left" vertical="center"/>
    </xf>
    <xf numFmtId="0" fontId="219" fillId="0" borderId="28" xfId="0" applyFont="1" applyBorder="1" applyAlignment="1">
      <alignment horizontal="center" vertical="center" wrapText="1"/>
    </xf>
    <xf numFmtId="0" fontId="358" fillId="0" borderId="0" xfId="0" applyFont="1" applyAlignment="1">
      <alignment horizontal="left" vertical="center"/>
    </xf>
    <xf numFmtId="0" fontId="32" fillId="0" borderId="0" xfId="0" applyFont="1" applyAlignment="1">
      <alignment horizontal="right" vertical="center"/>
    </xf>
    <xf numFmtId="0" fontId="389" fillId="0" borderId="0" xfId="0" applyFont="1" applyAlignment="1">
      <alignment vertical="center"/>
    </xf>
    <xf numFmtId="0" fontId="159" fillId="9" borderId="51" xfId="0" applyFont="1" applyFill="1" applyBorder="1" applyAlignment="1">
      <alignment vertical="center"/>
    </xf>
    <xf numFmtId="0" fontId="159" fillId="9" borderId="0" xfId="0" applyFont="1" applyFill="1" applyAlignment="1">
      <alignment horizontal="right" vertical="top"/>
    </xf>
    <xf numFmtId="175" fontId="300" fillId="9" borderId="28" xfId="0" applyNumberFormat="1" applyFont="1" applyFill="1" applyBorder="1" applyAlignment="1">
      <alignment horizontal="left" vertical="top"/>
    </xf>
    <xf numFmtId="0" fontId="185" fillId="31" borderId="0" xfId="0" applyFont="1" applyFill="1" applyAlignment="1">
      <alignment horizontal="right" vertical="center"/>
    </xf>
    <xf numFmtId="0" fontId="66" fillId="31" borderId="0" xfId="0" applyFont="1" applyFill="1" applyAlignment="1">
      <alignment vertical="center"/>
    </xf>
    <xf numFmtId="0" fontId="185" fillId="8" borderId="51" xfId="0" applyFont="1" applyFill="1" applyBorder="1" applyAlignment="1">
      <alignment horizontal="right" vertical="center" wrapText="1"/>
    </xf>
    <xf numFmtId="0" fontId="191" fillId="13" borderId="46" xfId="0" applyFont="1" applyFill="1" applyBorder="1" applyAlignment="1">
      <alignment horizontal="left" vertical="center"/>
    </xf>
    <xf numFmtId="0" fontId="129" fillId="0" borderId="0" xfId="0" applyFont="1" applyAlignment="1">
      <alignment horizontal="left"/>
    </xf>
    <xf numFmtId="0" fontId="113" fillId="0" borderId="0" xfId="0" applyFont="1" applyAlignment="1">
      <alignment vertical="center"/>
    </xf>
    <xf numFmtId="0" fontId="52" fillId="0" borderId="24" xfId="0" applyFont="1" applyBorder="1" applyAlignment="1">
      <alignment horizontal="center"/>
    </xf>
    <xf numFmtId="0" fontId="14" fillId="0" borderId="28" xfId="0" applyFont="1" applyBorder="1" applyAlignment="1">
      <alignment horizontal="center" vertical="center"/>
    </xf>
    <xf numFmtId="0" fontId="9" fillId="0" borderId="129" xfId="0" applyFont="1" applyBorder="1" applyAlignment="1">
      <alignment horizontal="left" vertical="center" indent="1"/>
    </xf>
    <xf numFmtId="0" fontId="9" fillId="0" borderId="45" xfId="0" applyFont="1" applyBorder="1" applyAlignment="1">
      <alignment horizontal="left" vertical="center" indent="1"/>
    </xf>
    <xf numFmtId="0" fontId="45" fillId="0" borderId="138" xfId="0" applyFont="1" applyBorder="1" applyAlignment="1">
      <alignment horizontal="right"/>
    </xf>
    <xf numFmtId="0" fontId="12" fillId="0" borderId="4" xfId="0" applyFont="1" applyBorder="1" applyAlignment="1">
      <alignment horizontal="center" vertical="center"/>
    </xf>
    <xf numFmtId="0" fontId="107" fillId="0" borderId="129" xfId="0" applyFont="1" applyBorder="1" applyAlignment="1">
      <alignment horizontal="left" vertical="center"/>
    </xf>
    <xf numFmtId="0" fontId="131" fillId="0" borderId="45" xfId="0" applyFont="1" applyBorder="1" applyAlignment="1">
      <alignment vertical="center"/>
    </xf>
    <xf numFmtId="0" fontId="66" fillId="0" borderId="45" xfId="0" applyFont="1" applyBorder="1" applyAlignment="1">
      <alignment vertical="center"/>
    </xf>
    <xf numFmtId="0" fontId="2" fillId="31" borderId="0" xfId="0" applyFont="1" applyFill="1" applyAlignment="1">
      <alignment horizontal="right" vertical="center"/>
    </xf>
    <xf numFmtId="0" fontId="83" fillId="31" borderId="28" xfId="0" applyFont="1" applyFill="1" applyBorder="1" applyAlignment="1">
      <alignment horizontal="left" vertical="center"/>
    </xf>
    <xf numFmtId="0" fontId="66" fillId="8" borderId="0" xfId="0" applyFont="1" applyFill="1" applyAlignment="1">
      <alignment vertical="center"/>
    </xf>
    <xf numFmtId="0" fontId="2" fillId="8" borderId="0" xfId="0" applyFont="1" applyFill="1" applyAlignment="1">
      <alignment horizontal="right" vertical="center"/>
    </xf>
    <xf numFmtId="0" fontId="380" fillId="8" borderId="46" xfId="0" applyFont="1" applyFill="1" applyBorder="1" applyAlignment="1">
      <alignment horizontal="center" vertical="center" wrapText="1"/>
    </xf>
    <xf numFmtId="0" fontId="176" fillId="8" borderId="48" xfId="0" applyFont="1" applyFill="1" applyBorder="1" applyAlignment="1">
      <alignment horizontal="right" vertical="center"/>
    </xf>
    <xf numFmtId="0" fontId="2" fillId="8" borderId="28" xfId="0" applyFont="1" applyFill="1" applyBorder="1" applyAlignment="1">
      <alignment horizontal="left" vertical="center"/>
    </xf>
    <xf numFmtId="0" fontId="2" fillId="0" borderId="28" xfId="0" applyFont="1" applyBorder="1" applyAlignment="1">
      <alignment horizontal="left" vertical="center"/>
    </xf>
    <xf numFmtId="0" fontId="9" fillId="0" borderId="97" xfId="0" applyFont="1" applyBorder="1" applyAlignment="1">
      <alignment horizontal="left" vertical="center" indent="1"/>
    </xf>
    <xf numFmtId="0" fontId="9" fillId="0" borderId="114" xfId="0" applyFont="1" applyBorder="1" applyAlignment="1">
      <alignment horizontal="left" vertical="center" indent="1"/>
    </xf>
    <xf numFmtId="0" fontId="66" fillId="0" borderId="12" xfId="0" applyFont="1" applyBorder="1" applyAlignment="1">
      <alignment vertical="center"/>
    </xf>
    <xf numFmtId="0" fontId="12" fillId="0" borderId="13" xfId="0" applyFont="1" applyBorder="1" applyAlignment="1">
      <alignment horizontal="center" vertical="center"/>
    </xf>
    <xf numFmtId="0" fontId="9" fillId="0" borderId="51" xfId="0" applyFont="1" applyBorder="1" applyAlignment="1">
      <alignment horizontal="left" vertical="center" indent="1"/>
    </xf>
    <xf numFmtId="0" fontId="9" fillId="0" borderId="28" xfId="0" applyFont="1" applyBorder="1" applyAlignment="1">
      <alignment vertical="center"/>
    </xf>
    <xf numFmtId="0" fontId="16" fillId="31" borderId="44" xfId="0" applyFont="1" applyFill="1" applyBorder="1" applyAlignment="1">
      <alignment vertical="center"/>
    </xf>
    <xf numFmtId="0" fontId="83" fillId="31" borderId="24" xfId="0" applyFont="1" applyFill="1" applyBorder="1" applyAlignment="1">
      <alignment horizontal="right" vertical="center"/>
    </xf>
    <xf numFmtId="0" fontId="66" fillId="31" borderId="22" xfId="0" applyFont="1" applyFill="1" applyBorder="1" applyAlignment="1">
      <alignment vertical="center"/>
    </xf>
    <xf numFmtId="0" fontId="66" fillId="8" borderId="44" xfId="0" applyFont="1" applyFill="1" applyBorder="1" applyAlignment="1">
      <alignment horizontal="left" vertical="center"/>
    </xf>
    <xf numFmtId="0" fontId="83" fillId="8" borderId="0" xfId="0" applyFont="1" applyFill="1" applyAlignment="1">
      <alignment horizontal="left" vertical="center"/>
    </xf>
    <xf numFmtId="0" fontId="380" fillId="8" borderId="25" xfId="0" applyFont="1" applyFill="1" applyBorder="1" applyAlignment="1">
      <alignment horizontal="center" vertical="center" wrapText="1"/>
    </xf>
    <xf numFmtId="0" fontId="61" fillId="8" borderId="27" xfId="0" applyFont="1" applyFill="1" applyBorder="1" applyAlignment="1">
      <alignment horizontal="right" vertical="center"/>
    </xf>
    <xf numFmtId="0" fontId="83" fillId="8" borderId="214" xfId="0" applyFont="1" applyFill="1" applyBorder="1" applyAlignment="1">
      <alignment horizontal="center" vertical="center"/>
    </xf>
    <xf numFmtId="0" fontId="83" fillId="0" borderId="28" xfId="0" applyFont="1" applyBorder="1" applyAlignment="1">
      <alignment horizontal="center" vertical="center"/>
    </xf>
    <xf numFmtId="0" fontId="169" fillId="0" borderId="0" xfId="0" applyFont="1" applyAlignment="1">
      <alignment horizontal="center" vertical="center"/>
    </xf>
    <xf numFmtId="0" fontId="9" fillId="0" borderId="43" xfId="0" applyFont="1" applyBorder="1" applyAlignment="1">
      <alignment horizontal="left" vertical="center" indent="1"/>
    </xf>
    <xf numFmtId="0" fontId="9" fillId="0" borderId="16" xfId="0" applyFont="1" applyBorder="1" applyAlignment="1">
      <alignment horizontal="left" vertical="center" indent="1"/>
    </xf>
    <xf numFmtId="0" fontId="9" fillId="0" borderId="51" xfId="0" applyFont="1" applyBorder="1" applyAlignment="1">
      <alignment horizontal="left" indent="1"/>
    </xf>
    <xf numFmtId="0" fontId="145" fillId="0" borderId="129" xfId="0" applyFont="1" applyBorder="1" applyAlignment="1">
      <alignment horizontal="right" vertical="center" wrapText="1"/>
    </xf>
    <xf numFmtId="0" fontId="145" fillId="0" borderId="45" xfId="0" applyFont="1" applyBorder="1" applyAlignment="1">
      <alignment horizontal="right" vertical="center" wrapText="1"/>
    </xf>
    <xf numFmtId="0" fontId="145" fillId="0" borderId="94" xfId="0" applyFont="1" applyBorder="1" applyAlignment="1">
      <alignment horizontal="right" vertical="center" wrapText="1"/>
    </xf>
    <xf numFmtId="0" fontId="193" fillId="14" borderId="51" xfId="0" applyFont="1" applyFill="1" applyBorder="1" applyAlignment="1">
      <alignment vertical="center"/>
    </xf>
    <xf numFmtId="0" fontId="193" fillId="14" borderId="0" xfId="0" applyFont="1" applyFill="1" applyAlignment="1">
      <alignment vertical="center"/>
    </xf>
    <xf numFmtId="0" fontId="193" fillId="14" borderId="94" xfId="0" applyFont="1" applyFill="1" applyBorder="1" applyAlignment="1">
      <alignment vertical="center"/>
    </xf>
    <xf numFmtId="0" fontId="202" fillId="32" borderId="51" xfId="0" applyFont="1" applyFill="1" applyBorder="1" applyAlignment="1">
      <alignment vertical="center"/>
    </xf>
    <xf numFmtId="0" fontId="202" fillId="32" borderId="0" xfId="0" applyFont="1" applyFill="1" applyAlignment="1">
      <alignment vertical="center"/>
    </xf>
    <xf numFmtId="0" fontId="202" fillId="32" borderId="28" xfId="0" applyFont="1" applyFill="1" applyBorder="1" applyAlignment="1">
      <alignment vertical="center"/>
    </xf>
    <xf numFmtId="0" fontId="195" fillId="0" borderId="28" xfId="0" applyFont="1" applyBorder="1" applyAlignment="1">
      <alignment horizontal="center" vertical="center"/>
    </xf>
    <xf numFmtId="0" fontId="195" fillId="0" borderId="0" xfId="0" applyFont="1" applyAlignment="1">
      <alignment horizontal="center"/>
    </xf>
    <xf numFmtId="0" fontId="9" fillId="0" borderId="54" xfId="0" applyFont="1" applyBorder="1" applyAlignment="1">
      <alignment horizontal="left" vertical="center" indent="1"/>
    </xf>
    <xf numFmtId="0" fontId="32" fillId="0" borderId="5" xfId="0" applyFont="1" applyBorder="1" applyAlignment="1">
      <alignment vertical="center"/>
    </xf>
    <xf numFmtId="0" fontId="16" fillId="0" borderId="51" xfId="0" applyFont="1" applyBorder="1" applyAlignment="1">
      <alignment horizontal="left" vertical="center" indent="1"/>
    </xf>
    <xf numFmtId="0" fontId="145" fillId="0" borderId="51" xfId="0" applyFont="1" applyBorder="1" applyAlignment="1">
      <alignment horizontal="right" vertical="center" wrapText="1"/>
    </xf>
    <xf numFmtId="0" fontId="145" fillId="0" borderId="0" xfId="0" applyFont="1" applyAlignment="1">
      <alignment horizontal="right" vertical="center" wrapText="1"/>
    </xf>
    <xf numFmtId="0" fontId="216" fillId="0" borderId="28" xfId="0" applyFont="1" applyBorder="1" applyAlignment="1">
      <alignment horizontal="center" vertical="top"/>
    </xf>
    <xf numFmtId="0" fontId="196" fillId="0" borderId="0" xfId="0" applyFont="1" applyAlignment="1">
      <alignment horizontal="center" vertical="top"/>
    </xf>
    <xf numFmtId="0" fontId="4" fillId="0" borderId="0" xfId="0" applyFont="1" applyAlignment="1">
      <alignment vertical="center"/>
    </xf>
    <xf numFmtId="170" fontId="199" fillId="34" borderId="51" xfId="0" applyNumberFormat="1" applyFont="1" applyFill="1" applyBorder="1" applyAlignment="1">
      <alignment horizontal="right" vertical="center"/>
    </xf>
    <xf numFmtId="0" fontId="199" fillId="34" borderId="0" xfId="0" applyFont="1" applyFill="1" applyAlignment="1">
      <alignment horizontal="left" vertical="center"/>
    </xf>
    <xf numFmtId="0" fontId="9" fillId="34" borderId="0" xfId="0" applyFont="1" applyFill="1" applyAlignment="1">
      <alignment vertical="center"/>
    </xf>
    <xf numFmtId="170" fontId="198" fillId="34" borderId="48" xfId="0" applyNumberFormat="1" applyFont="1" applyFill="1" applyBorder="1" applyAlignment="1">
      <alignment horizontal="right" vertical="center"/>
    </xf>
    <xf numFmtId="0" fontId="198" fillId="34" borderId="28" xfId="0" applyFont="1" applyFill="1" applyBorder="1" applyAlignment="1">
      <alignment horizontal="left" vertical="center"/>
    </xf>
    <xf numFmtId="0" fontId="198" fillId="0" borderId="28" xfId="0" applyFont="1" applyBorder="1" applyAlignment="1">
      <alignment horizontal="left" vertical="center"/>
    </xf>
    <xf numFmtId="49" fontId="12" fillId="0" borderId="13" xfId="0" applyNumberFormat="1" applyFont="1" applyBorder="1" applyAlignment="1">
      <alignment horizontal="center" vertical="center"/>
    </xf>
    <xf numFmtId="0" fontId="206" fillId="32" borderId="44" xfId="0" applyFont="1" applyFill="1" applyBorder="1" applyAlignment="1">
      <alignment vertical="center"/>
    </xf>
    <xf numFmtId="0" fontId="195" fillId="32" borderId="24" xfId="0" applyFont="1" applyFill="1" applyBorder="1" applyAlignment="1">
      <alignment horizontal="right" vertical="center"/>
    </xf>
    <xf numFmtId="170" fontId="195" fillId="32" borderId="22" xfId="0" applyNumberFormat="1" applyFont="1" applyFill="1" applyBorder="1" applyAlignment="1">
      <alignment horizontal="left" vertical="center"/>
    </xf>
    <xf numFmtId="0" fontId="206" fillId="34" borderId="51" xfId="0" applyFont="1" applyFill="1" applyBorder="1" applyAlignment="1">
      <alignment vertical="center"/>
    </xf>
    <xf numFmtId="0" fontId="195" fillId="34" borderId="0" xfId="0" applyFont="1" applyFill="1" applyAlignment="1">
      <alignment horizontal="right" vertical="center"/>
    </xf>
    <xf numFmtId="170" fontId="195" fillId="34" borderId="46" xfId="0" applyNumberFormat="1" applyFont="1" applyFill="1" applyBorder="1" applyAlignment="1">
      <alignment horizontal="left" vertical="center"/>
    </xf>
    <xf numFmtId="170" fontId="195" fillId="34" borderId="27" xfId="0" applyNumberFormat="1" applyFont="1" applyFill="1" applyBorder="1" applyAlignment="1">
      <alignment horizontal="right" vertical="center"/>
    </xf>
    <xf numFmtId="0" fontId="195" fillId="34" borderId="214" xfId="0" applyFont="1" applyFill="1" applyBorder="1" applyAlignment="1">
      <alignment horizontal="left" vertical="center"/>
    </xf>
    <xf numFmtId="0" fontId="195" fillId="0" borderId="28" xfId="0" applyFont="1" applyBorder="1" applyAlignment="1">
      <alignment horizontal="left" vertical="center"/>
    </xf>
    <xf numFmtId="0" fontId="90" fillId="0" borderId="5" xfId="0" applyFont="1" applyBorder="1" applyAlignment="1">
      <alignment horizontal="right" vertical="center"/>
    </xf>
    <xf numFmtId="0" fontId="9" fillId="0" borderId="42" xfId="0" applyFont="1" applyBorder="1" applyAlignment="1">
      <alignment horizontal="left" vertical="center" indent="1"/>
    </xf>
    <xf numFmtId="0" fontId="32" fillId="0" borderId="8" xfId="0" applyFont="1" applyBorder="1" applyAlignment="1">
      <alignment vertical="center"/>
    </xf>
    <xf numFmtId="0" fontId="111" fillId="0" borderId="8" xfId="0" applyFont="1" applyBorder="1" applyAlignment="1">
      <alignment horizontal="left" vertical="center" wrapText="1"/>
    </xf>
    <xf numFmtId="0" fontId="66" fillId="0" borderId="11" xfId="0" applyFont="1" applyBorder="1" applyAlignment="1">
      <alignment vertical="center"/>
    </xf>
    <xf numFmtId="0" fontId="12" fillId="0" borderId="23" xfId="0" applyFont="1" applyBorder="1" applyAlignment="1">
      <alignment horizontal="center" vertical="center"/>
    </xf>
    <xf numFmtId="0" fontId="52" fillId="0" borderId="0" xfId="0" applyFont="1" applyAlignment="1">
      <alignment horizontal="center"/>
    </xf>
    <xf numFmtId="174" fontId="199" fillId="34" borderId="51" xfId="0" applyNumberFormat="1" applyFont="1" applyFill="1" applyBorder="1" applyAlignment="1">
      <alignment horizontal="right"/>
    </xf>
    <xf numFmtId="0" fontId="199" fillId="34" borderId="0" xfId="0" applyFont="1" applyFill="1" applyAlignment="1">
      <alignment horizontal="left"/>
    </xf>
    <xf numFmtId="0" fontId="9" fillId="34" borderId="0" xfId="0" applyFont="1" applyFill="1"/>
    <xf numFmtId="174" fontId="198" fillId="34" borderId="48" xfId="0" applyNumberFormat="1" applyFont="1" applyFill="1" applyBorder="1" applyAlignment="1">
      <alignment horizontal="right" vertical="center"/>
    </xf>
    <xf numFmtId="0" fontId="63" fillId="0" borderId="45" xfId="0" applyFont="1" applyBorder="1" applyAlignment="1">
      <alignment horizontal="left" vertical="top" indent="1"/>
    </xf>
    <xf numFmtId="0" fontId="74" fillId="0" borderId="0" xfId="0" applyFont="1" applyAlignment="1">
      <alignment horizontal="center"/>
    </xf>
    <xf numFmtId="0" fontId="52" fillId="0" borderId="0" xfId="0" applyFont="1" applyAlignment="1">
      <alignment vertical="center"/>
    </xf>
    <xf numFmtId="0" fontId="163" fillId="6" borderId="37" xfId="0" applyFont="1" applyFill="1" applyBorder="1" applyAlignment="1">
      <alignment horizontal="left"/>
    </xf>
    <xf numFmtId="0" fontId="2" fillId="0" borderId="28"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61" fillId="0" borderId="24" xfId="0" applyFont="1" applyBorder="1" applyAlignment="1">
      <alignment horizontal="right" vertical="center"/>
    </xf>
    <xf numFmtId="0" fontId="195" fillId="0" borderId="0" xfId="0" applyFont="1" applyAlignment="1">
      <alignment horizontal="center" vertical="center"/>
    </xf>
    <xf numFmtId="0" fontId="15" fillId="0" borderId="129" xfId="0" applyFont="1" applyBorder="1" applyAlignment="1">
      <alignment horizontal="left" vertical="center" indent="1"/>
    </xf>
    <xf numFmtId="0" fontId="66" fillId="0" borderId="138" xfId="0" applyFont="1" applyBorder="1" applyAlignment="1">
      <alignment vertical="center"/>
    </xf>
    <xf numFmtId="0" fontId="66" fillId="0" borderId="43" xfId="0" applyFont="1" applyBorder="1" applyAlignment="1">
      <alignment vertical="center"/>
    </xf>
    <xf numFmtId="0" fontId="32" fillId="0" borderId="16" xfId="0" applyFont="1" applyBorder="1" applyAlignment="1">
      <alignment vertical="center"/>
    </xf>
    <xf numFmtId="0" fontId="50" fillId="0" borderId="16" xfId="0" applyFont="1" applyBorder="1" applyAlignment="1">
      <alignment horizontal="right" vertical="top"/>
    </xf>
    <xf numFmtId="0" fontId="66" fillId="0" borderId="6" xfId="0" applyFont="1" applyBorder="1" applyAlignment="1">
      <alignment vertical="center"/>
    </xf>
    <xf numFmtId="0" fontId="195" fillId="32" borderId="51" xfId="0" applyFont="1" applyFill="1" applyBorder="1"/>
    <xf numFmtId="0" fontId="195" fillId="32" borderId="24" xfId="0" applyFont="1" applyFill="1" applyBorder="1" applyAlignment="1">
      <alignment horizontal="right"/>
    </xf>
    <xf numFmtId="170" fontId="195" fillId="32" borderId="22" xfId="0" applyNumberFormat="1" applyFont="1" applyFill="1" applyBorder="1" applyAlignment="1">
      <alignment horizontal="left"/>
    </xf>
    <xf numFmtId="0" fontId="195" fillId="34" borderId="44" xfId="0" applyFont="1" applyFill="1" applyBorder="1" applyAlignment="1">
      <alignment vertical="center"/>
    </xf>
    <xf numFmtId="0" fontId="195" fillId="34" borderId="24" xfId="0" applyFont="1" applyFill="1" applyBorder="1" applyAlignment="1">
      <alignment horizontal="right" vertical="center"/>
    </xf>
    <xf numFmtId="170" fontId="195" fillId="34" borderId="25" xfId="0" applyNumberFormat="1" applyFont="1" applyFill="1" applyBorder="1" applyAlignment="1">
      <alignment horizontal="left" vertical="center"/>
    </xf>
    <xf numFmtId="0" fontId="195" fillId="34" borderId="22" xfId="0" applyFont="1" applyFill="1" applyBorder="1" applyAlignment="1">
      <alignment horizontal="left" vertical="center"/>
    </xf>
    <xf numFmtId="0" fontId="15" fillId="0" borderId="51" xfId="0" applyFont="1" applyBorder="1" applyAlignment="1">
      <alignment horizontal="left" vertical="center" indent="1"/>
    </xf>
    <xf numFmtId="0" fontId="66" fillId="0" borderId="46" xfId="0" applyFont="1" applyBorder="1" applyAlignment="1">
      <alignment vertical="center"/>
    </xf>
    <xf numFmtId="0" fontId="128" fillId="0" borderId="51" xfId="0" applyFont="1" applyBorder="1" applyAlignment="1">
      <alignment vertical="center"/>
    </xf>
    <xf numFmtId="0" fontId="128" fillId="0" borderId="0" xfId="0" applyFont="1" applyAlignment="1">
      <alignment vertical="center"/>
    </xf>
    <xf numFmtId="0" fontId="323" fillId="0" borderId="0" xfId="0" applyFont="1" applyAlignment="1">
      <alignment horizontal="right" vertical="center"/>
    </xf>
    <xf numFmtId="0" fontId="9" fillId="0" borderId="0" xfId="0" applyFont="1" applyAlignment="1">
      <alignment horizontal="right"/>
    </xf>
    <xf numFmtId="0" fontId="66" fillId="32" borderId="0" xfId="0" applyFont="1" applyFill="1" applyAlignment="1">
      <alignment vertical="center"/>
    </xf>
    <xf numFmtId="0" fontId="66" fillId="32" borderId="28" xfId="0" applyFont="1" applyFill="1" applyBorder="1" applyAlignment="1">
      <alignment vertical="center"/>
    </xf>
    <xf numFmtId="0" fontId="195" fillId="34" borderId="48" xfId="0" applyFont="1" applyFill="1" applyBorder="1" applyAlignment="1">
      <alignment horizontal="center" vertical="center"/>
    </xf>
    <xf numFmtId="0" fontId="195" fillId="34" borderId="28" xfId="0" applyFont="1" applyFill="1" applyBorder="1" applyAlignment="1">
      <alignment horizontal="center" vertical="center"/>
    </xf>
    <xf numFmtId="0" fontId="152" fillId="0" borderId="43" xfId="0" applyFont="1" applyBorder="1" applyAlignment="1">
      <alignment vertical="center"/>
    </xf>
    <xf numFmtId="0" fontId="152" fillId="0" borderId="16" xfId="0" applyFont="1" applyBorder="1" applyAlignment="1">
      <alignment vertical="center"/>
    </xf>
    <xf numFmtId="0" fontId="323" fillId="0" borderId="16" xfId="0" applyFont="1" applyBorder="1" applyAlignment="1">
      <alignment horizontal="right" vertical="center"/>
    </xf>
    <xf numFmtId="0" fontId="15" fillId="0" borderId="46" xfId="0" applyFont="1" applyBorder="1" applyAlignment="1">
      <alignment vertical="center"/>
    </xf>
    <xf numFmtId="0" fontId="195" fillId="0" borderId="28" xfId="0" applyFont="1" applyBorder="1" applyAlignment="1">
      <alignment horizontal="center"/>
    </xf>
    <xf numFmtId="0" fontId="9" fillId="0" borderId="44" xfId="0" applyFont="1" applyBorder="1" applyAlignment="1">
      <alignment horizontal="left" vertical="top" indent="1"/>
    </xf>
    <xf numFmtId="0" fontId="9" fillId="0" borderId="24" xfId="0" applyFont="1" applyBorder="1" applyAlignment="1">
      <alignment vertical="center"/>
    </xf>
    <xf numFmtId="0" fontId="9" fillId="0" borderId="24" xfId="0" applyFont="1" applyBorder="1" applyAlignment="1">
      <alignment horizontal="right"/>
    </xf>
    <xf numFmtId="0" fontId="9" fillId="0" borderId="22" xfId="0" applyFont="1" applyBorder="1" applyAlignment="1">
      <alignment vertical="center"/>
    </xf>
    <xf numFmtId="0" fontId="145" fillId="0" borderId="28" xfId="0" applyFont="1" applyBorder="1" applyAlignment="1">
      <alignment horizontal="right" vertical="center" indent="2"/>
    </xf>
    <xf numFmtId="0" fontId="195" fillId="0" borderId="28" xfId="0" applyFont="1" applyBorder="1" applyAlignment="1">
      <alignment horizontal="center" vertical="top"/>
    </xf>
    <xf numFmtId="0" fontId="195" fillId="0" borderId="0" xfId="0" applyFont="1" applyAlignment="1">
      <alignment horizontal="center" vertical="top"/>
    </xf>
    <xf numFmtId="0" fontId="128" fillId="0" borderId="43" xfId="0" applyFont="1" applyBorder="1" applyAlignment="1">
      <alignment vertical="center"/>
    </xf>
    <xf numFmtId="0" fontId="128" fillId="0" borderId="16" xfId="0" applyFont="1" applyBorder="1" applyAlignment="1">
      <alignment vertical="center"/>
    </xf>
    <xf numFmtId="0" fontId="145" fillId="0" borderId="28" xfId="0" applyFont="1" applyBorder="1" applyAlignment="1">
      <alignment horizontal="right" vertical="center"/>
    </xf>
    <xf numFmtId="0" fontId="207" fillId="14" borderId="51" xfId="0" applyFont="1" applyFill="1" applyBorder="1" applyAlignment="1">
      <alignment horizontal="center" vertical="center"/>
    </xf>
    <xf numFmtId="0" fontId="207" fillId="14" borderId="0" xfId="0" applyFont="1" applyFill="1" applyAlignment="1">
      <alignment horizontal="center" vertical="center"/>
    </xf>
    <xf numFmtId="0" fontId="207" fillId="14" borderId="28" xfId="0" applyFont="1" applyFill="1" applyBorder="1" applyAlignment="1">
      <alignment horizontal="center" vertical="center"/>
    </xf>
    <xf numFmtId="0" fontId="201" fillId="34" borderId="51" xfId="0" applyFont="1" applyFill="1" applyBorder="1" applyAlignment="1">
      <alignment horizontal="left" vertical="center"/>
    </xf>
    <xf numFmtId="0" fontId="201" fillId="34" borderId="0" xfId="0" applyFont="1" applyFill="1" applyAlignment="1">
      <alignment horizontal="left" vertical="top"/>
    </xf>
    <xf numFmtId="0" fontId="201" fillId="34" borderId="46" xfId="0" applyFont="1" applyFill="1" applyBorder="1" applyAlignment="1">
      <alignment horizontal="left" vertical="top"/>
    </xf>
    <xf numFmtId="0" fontId="202" fillId="34" borderId="48" xfId="0" applyFont="1" applyFill="1" applyBorder="1" applyAlignment="1">
      <alignment vertical="center"/>
    </xf>
    <xf numFmtId="0" fontId="202" fillId="34" borderId="28" xfId="0" applyFont="1" applyFill="1" applyBorder="1" applyAlignment="1">
      <alignment vertical="center"/>
    </xf>
    <xf numFmtId="0" fontId="202" fillId="0" borderId="28" xfId="0" applyFont="1" applyBorder="1" applyAlignment="1">
      <alignment vertical="center"/>
    </xf>
    <xf numFmtId="0" fontId="208" fillId="0" borderId="0" xfId="0" applyFont="1" applyAlignment="1">
      <alignment vertical="center"/>
    </xf>
    <xf numFmtId="0" fontId="66" fillId="34" borderId="0" xfId="0" applyFont="1" applyFill="1" applyAlignment="1">
      <alignment vertical="center"/>
    </xf>
    <xf numFmtId="0" fontId="209" fillId="34" borderId="28" xfId="0" applyFont="1" applyFill="1" applyBorder="1" applyAlignment="1">
      <alignment horizontal="center" vertical="center"/>
    </xf>
    <xf numFmtId="0" fontId="209" fillId="0" borderId="28" xfId="0" applyFont="1" applyBorder="1" applyAlignment="1">
      <alignment horizontal="center" vertical="center"/>
    </xf>
    <xf numFmtId="0" fontId="16" fillId="0" borderId="44" xfId="0" applyFont="1" applyBorder="1" applyAlignment="1">
      <alignment horizontal="left" vertical="center"/>
    </xf>
    <xf numFmtId="0" fontId="324" fillId="0" borderId="25" xfId="0" applyFont="1" applyBorder="1" applyAlignment="1">
      <alignment horizontal="right" vertical="center"/>
    </xf>
    <xf numFmtId="0" fontId="145" fillId="0" borderId="43" xfId="0" applyFont="1" applyBorder="1" applyAlignment="1">
      <alignment horizontal="right" vertical="center" wrapText="1"/>
    </xf>
    <xf numFmtId="0" fontId="145" fillId="0" borderId="16" xfId="0" applyFont="1" applyBorder="1" applyAlignment="1">
      <alignment horizontal="right" vertical="center" wrapText="1"/>
    </xf>
    <xf numFmtId="0" fontId="145" fillId="0" borderId="18" xfId="0" applyFont="1" applyBorder="1" applyAlignment="1">
      <alignment horizontal="right" vertical="center" wrapText="1"/>
    </xf>
    <xf numFmtId="0" fontId="188" fillId="14" borderId="51" xfId="0" applyFont="1" applyFill="1" applyBorder="1" applyAlignment="1">
      <alignment vertical="center"/>
    </xf>
    <xf numFmtId="0" fontId="188" fillId="14" borderId="0" xfId="0" applyFont="1" applyFill="1" applyAlignment="1">
      <alignment vertical="center"/>
    </xf>
    <xf numFmtId="0" fontId="188" fillId="14" borderId="28" xfId="0" applyFont="1" applyFill="1" applyBorder="1" applyAlignment="1">
      <alignment vertical="center"/>
    </xf>
    <xf numFmtId="0" fontId="219" fillId="34" borderId="43" xfId="0" applyFont="1" applyFill="1" applyBorder="1" applyAlignment="1">
      <alignment horizontal="left" vertical="center"/>
    </xf>
    <xf numFmtId="0" fontId="218" fillId="34" borderId="16" xfId="0" applyFont="1" applyFill="1" applyBorder="1" applyAlignment="1">
      <alignment horizontal="left" vertical="center"/>
    </xf>
    <xf numFmtId="0" fontId="218" fillId="34" borderId="6" xfId="0" applyFont="1" applyFill="1" applyBorder="1" applyAlignment="1">
      <alignment horizontal="left" vertical="center"/>
    </xf>
    <xf numFmtId="0" fontId="66" fillId="34" borderId="14" xfId="0" applyFont="1" applyFill="1" applyBorder="1" applyAlignment="1">
      <alignment vertical="center"/>
    </xf>
    <xf numFmtId="0" fontId="66" fillId="34" borderId="18" xfId="0" applyFont="1" applyFill="1" applyBorder="1" applyAlignment="1">
      <alignment vertical="center"/>
    </xf>
    <xf numFmtId="0" fontId="209" fillId="0" borderId="0" xfId="0" applyFont="1" applyAlignment="1">
      <alignment horizontal="center" vertical="center"/>
    </xf>
    <xf numFmtId="0" fontId="103" fillId="0" borderId="0" xfId="0" applyFont="1" applyAlignment="1">
      <alignment vertical="center"/>
    </xf>
    <xf numFmtId="0" fontId="100" fillId="0" borderId="0" xfId="0" applyFont="1" applyAlignment="1">
      <alignment horizontal="right" vertical="center"/>
    </xf>
    <xf numFmtId="0" fontId="219" fillId="34" borderId="51" xfId="0" applyFont="1" applyFill="1" applyBorder="1" applyAlignment="1">
      <alignment horizontal="left" vertical="center"/>
    </xf>
    <xf numFmtId="0" fontId="218" fillId="34" borderId="0" xfId="0" applyFont="1" applyFill="1" applyAlignment="1">
      <alignment horizontal="left" vertical="center"/>
    </xf>
    <xf numFmtId="0" fontId="218" fillId="34" borderId="46" xfId="0" applyFont="1" applyFill="1" applyBorder="1" applyAlignment="1">
      <alignment horizontal="left" vertical="center"/>
    </xf>
    <xf numFmtId="0" fontId="66" fillId="34" borderId="9" xfId="0" applyFont="1" applyFill="1" applyBorder="1" applyAlignment="1">
      <alignment vertical="center"/>
    </xf>
    <xf numFmtId="0" fontId="345" fillId="34" borderId="23" xfId="0" applyFont="1" applyFill="1" applyBorder="1" applyAlignment="1">
      <alignment horizontal="right" vertical="center"/>
    </xf>
    <xf numFmtId="0" fontId="345" fillId="0" borderId="28" xfId="0" applyFont="1" applyBorder="1" applyAlignment="1">
      <alignment horizontal="right" vertical="center"/>
    </xf>
    <xf numFmtId="0" fontId="203" fillId="32" borderId="129" xfId="0" applyFont="1" applyFill="1" applyBorder="1" applyAlignment="1">
      <alignment horizontal="left" vertical="center"/>
    </xf>
    <xf numFmtId="0" fontId="203" fillId="32" borderId="45" xfId="0" applyFont="1" applyFill="1" applyBorder="1" applyAlignment="1">
      <alignment horizontal="left" vertical="center"/>
    </xf>
    <xf numFmtId="0" fontId="203" fillId="32" borderId="94" xfId="0" applyFont="1" applyFill="1" applyBorder="1" applyAlignment="1">
      <alignment horizontal="left" vertical="center"/>
    </xf>
    <xf numFmtId="0" fontId="204" fillId="0" borderId="28" xfId="0" applyFont="1" applyBorder="1" applyAlignment="1">
      <alignment horizontal="left" vertical="center" wrapText="1"/>
    </xf>
    <xf numFmtId="0" fontId="204" fillId="0" borderId="0" xfId="0" applyFont="1" applyAlignment="1">
      <alignment horizontal="left" vertical="center" wrapText="1"/>
    </xf>
    <xf numFmtId="0" fontId="170" fillId="6" borderId="129" xfId="0" applyFont="1" applyFill="1" applyBorder="1" applyAlignment="1">
      <alignment horizontal="left" vertical="center"/>
    </xf>
    <xf numFmtId="0" fontId="38" fillId="6" borderId="45" xfId="0" applyFont="1" applyFill="1" applyBorder="1" applyAlignment="1">
      <alignment horizontal="center" vertical="center"/>
    </xf>
    <xf numFmtId="0" fontId="38" fillId="6" borderId="94" xfId="0" applyFont="1" applyFill="1" applyBorder="1" applyAlignment="1">
      <alignment horizontal="center" vertical="center"/>
    </xf>
    <xf numFmtId="0" fontId="32" fillId="6" borderId="43" xfId="0" applyFont="1" applyFill="1" applyBorder="1" applyAlignment="1">
      <alignment vertical="center"/>
    </xf>
    <xf numFmtId="0" fontId="32" fillId="6" borderId="16" xfId="0" applyFont="1" applyFill="1" applyBorder="1" applyAlignment="1">
      <alignment vertical="center"/>
    </xf>
    <xf numFmtId="0" fontId="125" fillId="6" borderId="16" xfId="0" applyFont="1" applyFill="1" applyBorder="1" applyAlignment="1">
      <alignment horizontal="center" vertical="top"/>
    </xf>
    <xf numFmtId="0" fontId="125" fillId="6" borderId="18" xfId="0" applyFont="1" applyFill="1" applyBorder="1" applyAlignment="1">
      <alignment horizontal="center" vertical="top"/>
    </xf>
    <xf numFmtId="0" fontId="90" fillId="0" borderId="0" xfId="0" applyFont="1" applyAlignment="1">
      <alignment horizontal="right" vertical="top"/>
    </xf>
    <xf numFmtId="0" fontId="10" fillId="0" borderId="0" xfId="0" applyFont="1" applyAlignment="1">
      <alignment horizontal="left" vertical="center"/>
    </xf>
    <xf numFmtId="0" fontId="32" fillId="0" borderId="54" xfId="0" applyFont="1" applyBorder="1" applyAlignment="1">
      <alignment vertical="center"/>
    </xf>
    <xf numFmtId="0" fontId="19" fillId="0" borderId="16" xfId="0" applyFont="1" applyBorder="1" applyAlignment="1">
      <alignment horizontal="left" vertical="center" indent="1"/>
    </xf>
    <xf numFmtId="0" fontId="16" fillId="0" borderId="18" xfId="0" applyFont="1" applyBorder="1" applyAlignment="1">
      <alignment vertical="center"/>
    </xf>
    <xf numFmtId="0" fontId="19" fillId="0" borderId="5" xfId="0" applyFont="1" applyBorder="1" applyAlignment="1">
      <alignment horizontal="left" vertical="center" indent="1"/>
    </xf>
    <xf numFmtId="0" fontId="16" fillId="0" borderId="13" xfId="0" applyFont="1" applyBorder="1" applyAlignment="1">
      <alignment vertical="center"/>
    </xf>
    <xf numFmtId="0" fontId="96" fillId="0" borderId="0" xfId="0" applyFont="1" applyAlignment="1">
      <alignment horizontal="left" vertical="top" wrapText="1"/>
    </xf>
    <xf numFmtId="0" fontId="96" fillId="0" borderId="28" xfId="0" applyFont="1" applyBorder="1" applyAlignment="1">
      <alignment horizontal="left" vertical="top" wrapText="1"/>
    </xf>
    <xf numFmtId="0" fontId="205" fillId="14" borderId="56" xfId="0" applyFont="1" applyFill="1" applyBorder="1" applyAlignment="1">
      <alignment vertical="center"/>
    </xf>
    <xf numFmtId="0" fontId="188" fillId="14" borderId="56" xfId="0" applyFont="1" applyFill="1" applyBorder="1" applyAlignment="1">
      <alignment vertical="center"/>
    </xf>
    <xf numFmtId="0" fontId="202" fillId="14" borderId="56" xfId="0" applyFont="1" applyFill="1" applyBorder="1" applyAlignment="1">
      <alignment vertical="center"/>
    </xf>
    <xf numFmtId="0" fontId="203" fillId="34" borderId="186" xfId="0" applyFont="1" applyFill="1" applyBorder="1" applyAlignment="1">
      <alignment horizontal="left" vertical="center"/>
    </xf>
    <xf numFmtId="0" fontId="188" fillId="34" borderId="56" xfId="0" applyFont="1" applyFill="1" applyBorder="1" applyAlignment="1">
      <alignment vertical="center"/>
    </xf>
    <xf numFmtId="0" fontId="188" fillId="34" borderId="147" xfId="0" applyFont="1" applyFill="1" applyBorder="1" applyAlignment="1">
      <alignment vertical="center"/>
    </xf>
    <xf numFmtId="0" fontId="205" fillId="34" borderId="91" xfId="0" applyFont="1" applyFill="1" applyBorder="1" applyAlignment="1">
      <alignment vertical="center"/>
    </xf>
    <xf numFmtId="0" fontId="204" fillId="34" borderId="39" xfId="0" applyFont="1" applyFill="1" applyBorder="1" applyAlignment="1">
      <alignment horizontal="left" vertical="center" wrapText="1"/>
    </xf>
    <xf numFmtId="0" fontId="32" fillId="0" borderId="42" xfId="0" applyFont="1" applyBorder="1" applyAlignment="1">
      <alignment vertical="center"/>
    </xf>
    <xf numFmtId="0" fontId="19" fillId="0" borderId="8" xfId="0" applyFont="1" applyBorder="1" applyAlignment="1">
      <alignment horizontal="left" vertical="center" indent="1"/>
    </xf>
    <xf numFmtId="0" fontId="16" fillId="0" borderId="8" xfId="0" applyFont="1" applyBorder="1" applyAlignment="1">
      <alignment vertical="center"/>
    </xf>
    <xf numFmtId="0" fontId="16" fillId="0" borderId="23" xfId="0" applyFont="1" applyBorder="1" applyAlignment="1">
      <alignment vertical="center"/>
    </xf>
    <xf numFmtId="0" fontId="12" fillId="0" borderId="0" xfId="0" applyFont="1" applyAlignment="1">
      <alignment horizontal="left" vertical="center"/>
    </xf>
    <xf numFmtId="0" fontId="45" fillId="0" borderId="0" xfId="0" applyFont="1" applyAlignment="1">
      <alignment horizontal="left" vertical="center"/>
    </xf>
    <xf numFmtId="0" fontId="52" fillId="0" borderId="0" xfId="0" applyFont="1" applyAlignment="1">
      <alignment horizontal="center" vertical="center"/>
    </xf>
    <xf numFmtId="0" fontId="91" fillId="0" borderId="129" xfId="0" applyFont="1" applyBorder="1" applyAlignment="1">
      <alignment horizontal="left"/>
    </xf>
    <xf numFmtId="0" fontId="91" fillId="0" borderId="45" xfId="0" applyFont="1" applyBorder="1" applyAlignment="1">
      <alignment vertical="center" wrapText="1"/>
    </xf>
    <xf numFmtId="0" fontId="91" fillId="0" borderId="3" xfId="0" applyFont="1" applyBorder="1" applyAlignment="1">
      <alignment vertical="center" wrapText="1"/>
    </xf>
    <xf numFmtId="0" fontId="91" fillId="0" borderId="4" xfId="0" applyFont="1" applyBorder="1" applyAlignment="1">
      <alignment vertical="center" wrapText="1"/>
    </xf>
    <xf numFmtId="0" fontId="38" fillId="0" borderId="0" xfId="0" applyFont="1"/>
    <xf numFmtId="0" fontId="180" fillId="0" borderId="0" xfId="0" applyFont="1" applyAlignment="1">
      <alignment horizontal="center"/>
    </xf>
    <xf numFmtId="170" fontId="16" fillId="0" borderId="0" xfId="0" applyNumberFormat="1" applyFont="1" applyAlignment="1">
      <alignment horizontal="center" vertical="center"/>
    </xf>
    <xf numFmtId="0" fontId="92" fillId="0" borderId="0" xfId="0" applyFont="1" applyAlignment="1">
      <alignment horizontal="left" vertical="center"/>
    </xf>
    <xf numFmtId="0" fontId="181" fillId="0" borderId="0" xfId="0" applyFont="1" applyAlignment="1">
      <alignment vertical="center"/>
    </xf>
    <xf numFmtId="0" fontId="91" fillId="0" borderId="54" xfId="0" applyFont="1" applyBorder="1" applyAlignment="1">
      <alignment horizontal="right" vertical="center"/>
    </xf>
    <xf numFmtId="0" fontId="91" fillId="0" borderId="5" xfId="0" applyFont="1" applyBorder="1" applyAlignment="1">
      <alignment vertical="center"/>
    </xf>
    <xf numFmtId="0" fontId="91" fillId="0" borderId="16" xfId="0" applyFont="1" applyBorder="1" applyAlignment="1">
      <alignment vertical="center" wrapText="1"/>
    </xf>
    <xf numFmtId="0" fontId="91" fillId="0" borderId="18" xfId="0" applyFont="1" applyBorder="1" applyAlignment="1">
      <alignment vertical="center" wrapText="1"/>
    </xf>
    <xf numFmtId="0" fontId="14" fillId="0" borderId="0" xfId="0" applyFont="1"/>
    <xf numFmtId="0" fontId="38" fillId="0" borderId="24" xfId="0" applyFont="1" applyBorder="1"/>
    <xf numFmtId="0" fontId="16" fillId="0" borderId="24" xfId="0" applyFont="1" applyBorder="1" applyAlignment="1">
      <alignment vertical="center"/>
    </xf>
    <xf numFmtId="0" fontId="104" fillId="0" borderId="24" xfId="0" applyFont="1" applyBorder="1" applyAlignment="1">
      <alignment horizontal="right" vertical="center"/>
    </xf>
    <xf numFmtId="0" fontId="97" fillId="0" borderId="24" xfId="0" applyFont="1" applyBorder="1" applyAlignment="1">
      <alignment horizontal="center" vertical="center"/>
    </xf>
    <xf numFmtId="0" fontId="104" fillId="0" borderId="24" xfId="0" applyFont="1" applyBorder="1" applyAlignment="1">
      <alignment vertical="center"/>
    </xf>
    <xf numFmtId="0" fontId="104" fillId="0" borderId="0" xfId="0" applyFont="1" applyAlignment="1">
      <alignment vertical="center"/>
    </xf>
    <xf numFmtId="0" fontId="91" fillId="0" borderId="42" xfId="0" applyFont="1" applyBorder="1" applyAlignment="1">
      <alignment horizontal="right" vertical="center"/>
    </xf>
    <xf numFmtId="0" fontId="91" fillId="0" borderId="8" xfId="0" applyFont="1" applyBorder="1" applyAlignment="1">
      <alignment vertical="center"/>
    </xf>
    <xf numFmtId="0" fontId="91" fillId="0" borderId="23" xfId="0" applyFont="1" applyBorder="1" applyAlignment="1">
      <alignment horizontal="right" vertical="center"/>
    </xf>
    <xf numFmtId="0" fontId="66" fillId="0" borderId="40" xfId="0" applyFont="1" applyBorder="1" applyAlignment="1">
      <alignment vertical="center"/>
    </xf>
    <xf numFmtId="0" fontId="230" fillId="0" borderId="3" xfId="0" applyFont="1" applyBorder="1" applyAlignment="1">
      <alignment horizontal="right" vertical="center" wrapText="1"/>
    </xf>
    <xf numFmtId="0" fontId="226" fillId="0" borderId="16" xfId="0" applyFont="1" applyBorder="1" applyAlignment="1">
      <alignment vertical="center"/>
    </xf>
    <xf numFmtId="0" fontId="104" fillId="0" borderId="19" xfId="0" applyFont="1" applyBorder="1" applyAlignment="1">
      <alignment horizontal="right" vertical="center"/>
    </xf>
    <xf numFmtId="0" fontId="96" fillId="0" borderId="21" xfId="0" applyFont="1" applyBorder="1" applyAlignment="1">
      <alignment horizontal="left" vertical="center"/>
    </xf>
    <xf numFmtId="0" fontId="16" fillId="0" borderId="3" xfId="0" applyFont="1" applyBorder="1" applyAlignment="1">
      <alignment vertical="center"/>
    </xf>
    <xf numFmtId="0" fontId="104" fillId="0" borderId="16" xfId="0" applyFont="1" applyBorder="1" applyAlignment="1">
      <alignment horizontal="right" vertical="center"/>
    </xf>
    <xf numFmtId="0" fontId="96" fillId="0" borderId="132" xfId="0" applyFont="1" applyBorder="1" applyAlignment="1">
      <alignment horizontal="left" vertical="center"/>
    </xf>
    <xf numFmtId="0" fontId="96" fillId="0" borderId="0" xfId="0" applyFont="1" applyAlignment="1">
      <alignment horizontal="left" vertical="center"/>
    </xf>
    <xf numFmtId="0" fontId="182" fillId="0" borderId="0" xfId="0" applyFont="1" applyAlignment="1">
      <alignment horizontal="center" vertical="center"/>
    </xf>
    <xf numFmtId="0" fontId="6" fillId="0" borderId="0" xfId="0" applyFont="1" applyAlignment="1">
      <alignment horizontal="left"/>
    </xf>
    <xf numFmtId="0" fontId="66" fillId="0" borderId="97" xfId="0" applyFont="1" applyBorder="1" applyAlignment="1">
      <alignment vertical="center"/>
    </xf>
    <xf numFmtId="0" fontId="226" fillId="0" borderId="114" xfId="0" applyFont="1" applyBorder="1" applyAlignment="1">
      <alignment vertical="center"/>
    </xf>
    <xf numFmtId="0" fontId="96" fillId="0" borderId="114" xfId="0" applyFont="1" applyBorder="1" applyAlignment="1">
      <alignment horizontal="right" vertical="center"/>
    </xf>
    <xf numFmtId="0" fontId="96" fillId="0" borderId="30" xfId="0" applyFont="1" applyBorder="1" applyAlignment="1">
      <alignment vertical="center"/>
    </xf>
    <xf numFmtId="0" fontId="33" fillId="0" borderId="5" xfId="0" applyFont="1" applyBorder="1" applyAlignment="1">
      <alignment vertical="center"/>
    </xf>
    <xf numFmtId="0" fontId="232" fillId="0" borderId="16" xfId="0" applyFont="1" applyBorder="1" applyAlignment="1">
      <alignment horizontal="right" vertical="center"/>
    </xf>
    <xf numFmtId="0" fontId="104" fillId="0" borderId="5" xfId="0" applyFont="1" applyBorder="1" applyAlignment="1">
      <alignment horizontal="right" vertical="center"/>
    </xf>
    <xf numFmtId="0" fontId="96" fillId="0" borderId="30" xfId="0" applyFont="1" applyBorder="1" applyAlignment="1">
      <alignment horizontal="left" vertical="center"/>
    </xf>
    <xf numFmtId="0" fontId="66" fillId="0" borderId="42" xfId="0" applyFont="1" applyBorder="1" applyAlignment="1">
      <alignment vertical="center"/>
    </xf>
    <xf numFmtId="0" fontId="232" fillId="0" borderId="8" xfId="0" applyFont="1" applyBorder="1" applyAlignment="1">
      <alignment horizontal="right" vertical="center" wrapText="1"/>
    </xf>
    <xf numFmtId="0" fontId="226" fillId="0" borderId="8" xfId="0" applyFont="1" applyBorder="1" applyAlignment="1">
      <alignment vertical="center"/>
    </xf>
    <xf numFmtId="0" fontId="104" fillId="0" borderId="11" xfId="0" applyFont="1" applyBorder="1" applyAlignment="1">
      <alignment horizontal="right" vertical="center"/>
    </xf>
    <xf numFmtId="0" fontId="232" fillId="0" borderId="8" xfId="0" applyFont="1" applyBorder="1" applyAlignment="1">
      <alignment horizontal="right" vertical="center"/>
    </xf>
    <xf numFmtId="0" fontId="153" fillId="0" borderId="8" xfId="0" applyFont="1" applyBorder="1" applyAlignment="1">
      <alignment horizontal="right" vertical="center"/>
    </xf>
    <xf numFmtId="0" fontId="153" fillId="0" borderId="8" xfId="0" applyFont="1" applyBorder="1" applyAlignment="1">
      <alignment vertical="center"/>
    </xf>
    <xf numFmtId="0" fontId="3" fillId="0" borderId="8" xfId="0" applyFont="1" applyBorder="1" applyAlignment="1">
      <alignment vertical="center"/>
    </xf>
    <xf numFmtId="0" fontId="84" fillId="0" borderId="8" xfId="0" applyFont="1" applyBorder="1" applyAlignment="1">
      <alignment vertical="center"/>
    </xf>
    <xf numFmtId="0" fontId="104" fillId="0" borderId="8" xfId="0" applyFont="1" applyBorder="1" applyAlignment="1">
      <alignment horizontal="left" vertical="center"/>
    </xf>
    <xf numFmtId="0" fontId="90" fillId="0" borderId="0" xfId="0" applyFont="1" applyAlignment="1">
      <alignment horizontal="right"/>
    </xf>
    <xf numFmtId="0" fontId="66" fillId="0" borderId="0" xfId="0" applyFont="1"/>
    <xf numFmtId="0" fontId="66" fillId="15" borderId="51" xfId="0" applyFont="1" applyFill="1" applyBorder="1" applyAlignment="1">
      <alignment vertical="center"/>
    </xf>
    <xf numFmtId="0" fontId="36" fillId="15" borderId="0" xfId="0" applyFont="1" applyFill="1" applyAlignment="1">
      <alignment horizontal="center"/>
    </xf>
    <xf numFmtId="0" fontId="5" fillId="15" borderId="0" xfId="0" applyFont="1" applyFill="1" applyAlignment="1">
      <alignment vertical="center"/>
    </xf>
    <xf numFmtId="0" fontId="32" fillId="15" borderId="0" xfId="0" applyFont="1" applyFill="1" applyAlignment="1">
      <alignment vertical="center"/>
    </xf>
    <xf numFmtId="0" fontId="66" fillId="15" borderId="0" xfId="0" applyFont="1" applyFill="1" applyAlignment="1">
      <alignment vertical="center"/>
    </xf>
    <xf numFmtId="0" fontId="43" fillId="0" borderId="0" xfId="0" applyFont="1" applyAlignment="1">
      <alignment vertical="center"/>
    </xf>
    <xf numFmtId="0" fontId="5" fillId="0" borderId="0" xfId="0" applyFont="1" applyAlignment="1">
      <alignment vertical="center"/>
    </xf>
    <xf numFmtId="0" fontId="226" fillId="0" borderId="44" xfId="0" applyFont="1" applyBorder="1" applyAlignment="1">
      <alignment vertical="center"/>
    </xf>
    <xf numFmtId="0" fontId="226" fillId="0" borderId="24" xfId="0" applyFont="1" applyBorder="1" applyAlignment="1">
      <alignment vertical="center"/>
    </xf>
    <xf numFmtId="0" fontId="228" fillId="0" borderId="0" xfId="0" applyFont="1" applyAlignment="1">
      <alignment vertical="center"/>
    </xf>
    <xf numFmtId="0" fontId="227" fillId="0" borderId="0" xfId="0" applyFont="1" applyAlignment="1">
      <alignment horizontal="center"/>
    </xf>
    <xf numFmtId="0" fontId="229" fillId="0" borderId="94" xfId="0" applyFont="1" applyBorder="1" applyAlignment="1">
      <alignment horizontal="center" vertical="center"/>
    </xf>
    <xf numFmtId="0" fontId="11" fillId="0" borderId="0" xfId="0" applyFont="1" applyAlignment="1">
      <alignment horizontal="center"/>
    </xf>
    <xf numFmtId="0" fontId="44" fillId="0" borderId="0" xfId="0" applyFont="1" applyAlignment="1">
      <alignment vertical="center"/>
    </xf>
    <xf numFmtId="0" fontId="229" fillId="0" borderId="22" xfId="0" applyFont="1" applyBorder="1" applyAlignment="1">
      <alignment horizontal="center" vertical="center"/>
    </xf>
    <xf numFmtId="0" fontId="343" fillId="9" borderId="55" xfId="0" applyFont="1" applyFill="1" applyBorder="1" applyAlignment="1">
      <alignment horizontal="center"/>
    </xf>
    <xf numFmtId="0" fontId="343" fillId="9" borderId="22" xfId="0" applyFont="1" applyFill="1" applyBorder="1" applyAlignment="1">
      <alignment horizontal="center"/>
    </xf>
    <xf numFmtId="0" fontId="43" fillId="0" borderId="0" xfId="0" applyFont="1" applyAlignment="1">
      <alignment horizontal="right" vertical="center"/>
    </xf>
    <xf numFmtId="0" fontId="232" fillId="0" borderId="129" xfId="0" applyFont="1" applyBorder="1" applyAlignment="1">
      <alignment horizontal="center" vertical="center" wrapText="1"/>
    </xf>
    <xf numFmtId="0" fontId="233" fillId="0" borderId="134" xfId="0" applyFont="1" applyBorder="1" applyAlignment="1">
      <alignment horizontal="center" vertical="center" wrapText="1"/>
    </xf>
    <xf numFmtId="0" fontId="232" fillId="0" borderId="138" xfId="0" applyFont="1" applyBorder="1" applyAlignment="1">
      <alignment horizontal="right" vertical="center"/>
    </xf>
    <xf numFmtId="0" fontId="230" fillId="0" borderId="10" xfId="0" applyFont="1" applyBorder="1" applyAlignment="1">
      <alignment horizontal="center" vertical="center"/>
    </xf>
    <xf numFmtId="0" fontId="230" fillId="0" borderId="31" xfId="0" applyFont="1" applyBorder="1" applyAlignment="1">
      <alignment horizontal="center" vertical="center"/>
    </xf>
    <xf numFmtId="0" fontId="233" fillId="0" borderId="12" xfId="0" applyFont="1" applyBorder="1" applyAlignment="1">
      <alignment horizontal="center" vertical="center" wrapText="1"/>
    </xf>
    <xf numFmtId="178" fontId="233" fillId="0" borderId="4" xfId="0" applyNumberFormat="1" applyFont="1" applyBorder="1" applyAlignment="1">
      <alignment horizontal="center" vertical="center"/>
    </xf>
    <xf numFmtId="0" fontId="226" fillId="0" borderId="0" xfId="0" applyFont="1" applyAlignment="1">
      <alignment vertical="center"/>
    </xf>
    <xf numFmtId="0" fontId="232" fillId="0" borderId="29" xfId="0" applyFont="1" applyBorder="1" applyAlignment="1">
      <alignment horizontal="right" vertical="center" wrapText="1"/>
    </xf>
    <xf numFmtId="0" fontId="230" fillId="0" borderId="26" xfId="0" applyFont="1" applyBorder="1" applyAlignment="1">
      <alignment horizontal="center" vertical="center"/>
    </xf>
    <xf numFmtId="0" fontId="250" fillId="0" borderId="24" xfId="0" quotePrefix="1" applyFont="1" applyBorder="1" applyAlignment="1">
      <alignment vertical="center"/>
    </xf>
    <xf numFmtId="0" fontId="250" fillId="0" borderId="24" xfId="0" applyFont="1" applyBorder="1" applyAlignment="1">
      <alignment vertical="center"/>
    </xf>
    <xf numFmtId="0" fontId="250" fillId="0" borderId="37" xfId="0" applyFont="1" applyBorder="1" applyAlignment="1">
      <alignment vertical="center"/>
    </xf>
    <xf numFmtId="0" fontId="254" fillId="0" borderId="0" xfId="0" applyFont="1" applyAlignment="1">
      <alignment horizontal="left" vertical="center"/>
    </xf>
    <xf numFmtId="0" fontId="13" fillId="0" borderId="0" xfId="0" applyFont="1" applyAlignment="1">
      <alignment horizontal="left" vertical="center"/>
    </xf>
    <xf numFmtId="0" fontId="232" fillId="0" borderId="25" xfId="0" applyFont="1" applyBorder="1" applyAlignment="1">
      <alignment horizontal="center" vertical="center" wrapText="1"/>
    </xf>
    <xf numFmtId="0" fontId="232" fillId="0" borderId="24" xfId="0" applyFont="1" applyBorder="1" applyAlignment="1">
      <alignment horizontal="right" vertical="center"/>
    </xf>
    <xf numFmtId="1" fontId="235" fillId="0" borderId="9" xfId="0" applyNumberFormat="1" applyFont="1" applyBorder="1" applyAlignment="1">
      <alignment horizontal="center" vertical="center"/>
    </xf>
    <xf numFmtId="0" fontId="233" fillId="0" borderId="7" xfId="0" applyFont="1" applyBorder="1" applyAlignment="1">
      <alignment horizontal="center" vertical="center"/>
    </xf>
    <xf numFmtId="164" fontId="233" fillId="0" borderId="23" xfId="0" applyNumberFormat="1" applyFont="1" applyBorder="1" applyAlignment="1">
      <alignment horizontal="center" vertical="center"/>
    </xf>
    <xf numFmtId="0" fontId="236" fillId="0" borderId="0" xfId="0" applyFont="1" applyAlignment="1">
      <alignment horizontal="left" vertical="center"/>
    </xf>
    <xf numFmtId="0" fontId="232" fillId="0" borderId="187" xfId="0" applyFont="1" applyBorder="1" applyAlignment="1">
      <alignment horizontal="center" vertical="center"/>
    </xf>
    <xf numFmtId="0" fontId="235" fillId="0" borderId="7" xfId="0" applyFont="1" applyBorder="1" applyAlignment="1">
      <alignment horizontal="center" vertical="center"/>
    </xf>
    <xf numFmtId="0" fontId="233" fillId="0" borderId="24" xfId="0" applyFont="1" applyBorder="1" applyAlignment="1">
      <alignment horizontal="center" vertical="center"/>
    </xf>
    <xf numFmtId="0" fontId="233" fillId="0" borderId="37" xfId="0" applyFont="1" applyBorder="1" applyAlignment="1">
      <alignment horizontal="center" vertical="center"/>
    </xf>
    <xf numFmtId="0" fontId="248" fillId="0" borderId="40" xfId="0" applyFont="1" applyBorder="1" applyAlignment="1">
      <alignment horizontal="right" vertical="center"/>
    </xf>
    <xf numFmtId="0" fontId="248" fillId="0" borderId="3" xfId="0" applyFont="1" applyBorder="1" applyAlignment="1">
      <alignment horizontal="right" vertical="center"/>
    </xf>
    <xf numFmtId="0" fontId="248" fillId="0" borderId="3" xfId="0" applyFont="1" applyBorder="1" applyAlignment="1">
      <alignment horizontal="center" vertical="center"/>
    </xf>
    <xf numFmtId="0" fontId="230" fillId="0" borderId="14" xfId="0" applyFont="1" applyBorder="1" applyAlignment="1">
      <alignment horizontal="center" vertical="center"/>
    </xf>
    <xf numFmtId="0" fontId="230" fillId="0" borderId="2" xfId="0" applyFont="1" applyBorder="1" applyAlignment="1">
      <alignment horizontal="center" vertical="center"/>
    </xf>
    <xf numFmtId="0" fontId="237" fillId="0" borderId="21" xfId="0" applyFont="1" applyBorder="1" applyAlignment="1">
      <alignment horizontal="center" vertical="center"/>
    </xf>
    <xf numFmtId="0" fontId="233" fillId="0" borderId="4" xfId="0" applyFont="1" applyBorder="1" applyAlignment="1">
      <alignment vertical="center"/>
    </xf>
    <xf numFmtId="0" fontId="238" fillId="0" borderId="0" xfId="0" applyFont="1" applyAlignment="1">
      <alignment vertical="center"/>
    </xf>
    <xf numFmtId="0" fontId="233" fillId="0" borderId="19" xfId="0" applyFont="1" applyBorder="1" applyAlignment="1">
      <alignment horizontal="right" vertical="center"/>
    </xf>
    <xf numFmtId="172" fontId="230" fillId="0" borderId="31" xfId="0" applyNumberFormat="1" applyFont="1" applyBorder="1" applyAlignment="1">
      <alignment horizontal="center" vertical="center"/>
    </xf>
    <xf numFmtId="0" fontId="231" fillId="0" borderId="0" xfId="0" applyFont="1" applyAlignment="1">
      <alignment vertical="center"/>
    </xf>
    <xf numFmtId="0" fontId="233" fillId="0" borderId="21" xfId="0" applyFont="1" applyBorder="1" applyAlignment="1">
      <alignment horizontal="left" vertical="center"/>
    </xf>
    <xf numFmtId="0" fontId="233" fillId="0" borderId="4" xfId="0" applyFont="1" applyBorder="1" applyAlignment="1">
      <alignment horizontal="left" vertical="center"/>
    </xf>
    <xf numFmtId="0" fontId="248" fillId="0" borderId="54" xfId="0" applyFont="1" applyBorder="1" applyAlignment="1">
      <alignment horizontal="right" vertical="center"/>
    </xf>
    <xf numFmtId="0" fontId="248" fillId="0" borderId="5" xfId="0" applyFont="1" applyBorder="1" applyAlignment="1">
      <alignment horizontal="right" vertical="center"/>
    </xf>
    <xf numFmtId="0" fontId="248" fillId="0" borderId="5" xfId="0" applyFont="1" applyBorder="1" applyAlignment="1">
      <alignment horizontal="center" vertical="center"/>
    </xf>
    <xf numFmtId="0" fontId="232" fillId="0" borderId="46" xfId="0" applyFont="1" applyBorder="1" applyAlignment="1">
      <alignment horizontal="center" vertical="center" wrapText="1"/>
    </xf>
    <xf numFmtId="0" fontId="232" fillId="0" borderId="2" xfId="0" applyFont="1" applyBorder="1" applyAlignment="1">
      <alignment horizontal="right" vertical="center"/>
    </xf>
    <xf numFmtId="0" fontId="239" fillId="0" borderId="0" xfId="0" applyFont="1" applyAlignment="1">
      <alignment vertical="center"/>
    </xf>
    <xf numFmtId="0" fontId="233" fillId="0" borderId="13" xfId="0" applyFont="1" applyBorder="1" applyAlignment="1">
      <alignment vertical="center"/>
    </xf>
    <xf numFmtId="0" fontId="230" fillId="0" borderId="12" xfId="0" applyFont="1" applyBorder="1" applyAlignment="1">
      <alignment horizontal="right" vertical="center"/>
    </xf>
    <xf numFmtId="165" fontId="230" fillId="0" borderId="1" xfId="0" applyNumberFormat="1" applyFont="1" applyBorder="1" applyAlignment="1">
      <alignment horizontal="center" vertical="center"/>
    </xf>
    <xf numFmtId="0" fontId="230" fillId="0" borderId="1" xfId="0" applyFont="1" applyBorder="1" applyAlignment="1">
      <alignment horizontal="center" vertical="center"/>
    </xf>
    <xf numFmtId="0" fontId="230" fillId="0" borderId="13" xfId="0" applyFont="1" applyBorder="1" applyAlignment="1">
      <alignment vertical="center"/>
    </xf>
    <xf numFmtId="0" fontId="232" fillId="0" borderId="7" xfId="0" applyFont="1" applyBorder="1" applyAlignment="1">
      <alignment horizontal="right" vertical="center"/>
    </xf>
    <xf numFmtId="0" fontId="235" fillId="0" borderId="9" xfId="0" applyFont="1" applyBorder="1" applyAlignment="1">
      <alignment horizontal="center" vertical="center"/>
    </xf>
    <xf numFmtId="0" fontId="230" fillId="0" borderId="7" xfId="0" applyFont="1" applyBorder="1" applyAlignment="1">
      <alignment horizontal="center" vertical="center"/>
    </xf>
    <xf numFmtId="0" fontId="239" fillId="0" borderId="8" xfId="0" applyFont="1" applyBorder="1" applyAlignment="1">
      <alignment horizontal="left" vertical="center"/>
    </xf>
    <xf numFmtId="0" fontId="233" fillId="0" borderId="23" xfId="0" applyFont="1" applyBorder="1" applyAlignment="1">
      <alignment horizontal="left" vertical="center"/>
    </xf>
    <xf numFmtId="0" fontId="230" fillId="0" borderId="11" xfId="0" applyFont="1" applyBorder="1" applyAlignment="1">
      <alignment horizontal="right" vertical="center"/>
    </xf>
    <xf numFmtId="0" fontId="230" fillId="0" borderId="9" xfId="0" applyFont="1" applyBorder="1" applyAlignment="1">
      <alignment horizontal="right" vertical="center"/>
    </xf>
    <xf numFmtId="0" fontId="230" fillId="0" borderId="8" xfId="0" applyFont="1" applyBorder="1" applyAlignment="1">
      <alignment horizontal="right" vertical="center"/>
    </xf>
    <xf numFmtId="172" fontId="230" fillId="0" borderId="8" xfId="0" applyNumberFormat="1" applyFont="1" applyBorder="1" applyAlignment="1">
      <alignment horizontal="left" vertical="center"/>
    </xf>
    <xf numFmtId="172" fontId="230" fillId="0" borderId="23" xfId="0" applyNumberFormat="1" applyFont="1" applyBorder="1" applyAlignment="1">
      <alignment horizontal="left" vertical="center"/>
    </xf>
    <xf numFmtId="0" fontId="251" fillId="0" borderId="0" xfId="0" applyFont="1" applyAlignment="1">
      <alignment vertical="center"/>
    </xf>
    <xf numFmtId="0" fontId="232" fillId="0" borderId="19" xfId="0" applyFont="1" applyBorder="1" applyAlignment="1">
      <alignment horizontal="right" vertical="center"/>
    </xf>
    <xf numFmtId="0" fontId="230" fillId="0" borderId="21" xfId="0" applyFont="1" applyBorder="1" applyAlignment="1">
      <alignment horizontal="center" vertical="center"/>
    </xf>
    <xf numFmtId="0" fontId="239" fillId="0" borderId="3" xfId="0" applyFont="1" applyBorder="1" applyAlignment="1">
      <alignment horizontal="left" vertical="center"/>
    </xf>
    <xf numFmtId="0" fontId="230" fillId="0" borderId="40" xfId="0" applyFont="1" applyBorder="1" applyAlignment="1">
      <alignment horizontal="right" vertical="center" wrapText="1"/>
    </xf>
    <xf numFmtId="0" fontId="230" fillId="0" borderId="3" xfId="0" applyFont="1" applyBorder="1" applyAlignment="1">
      <alignment horizontal="right" vertical="center"/>
    </xf>
    <xf numFmtId="0" fontId="230" fillId="0" borderId="19" xfId="0" applyFont="1" applyBorder="1" applyAlignment="1">
      <alignment horizontal="right" vertical="center" wrapText="1"/>
    </xf>
    <xf numFmtId="0" fontId="247" fillId="0" borderId="134" xfId="0" applyFont="1" applyBorder="1" applyAlignment="1">
      <alignment vertical="center"/>
    </xf>
    <xf numFmtId="0" fontId="247" fillId="0" borderId="45" xfId="0" applyFont="1" applyBorder="1" applyAlignment="1">
      <alignment vertical="center"/>
    </xf>
    <xf numFmtId="0" fontId="232" fillId="0" borderId="45" xfId="0" applyFont="1" applyBorder="1" applyAlignment="1">
      <alignment vertical="center" wrapText="1"/>
    </xf>
    <xf numFmtId="0" fontId="248" fillId="0" borderId="42" xfId="0" applyFont="1" applyBorder="1" applyAlignment="1">
      <alignment horizontal="right" vertical="center"/>
    </xf>
    <xf numFmtId="0" fontId="248" fillId="0" borderId="8" xfId="0" applyFont="1" applyBorder="1" applyAlignment="1">
      <alignment horizontal="right" vertical="center"/>
    </xf>
    <xf numFmtId="0" fontId="248" fillId="0" borderId="8" xfId="0" applyFont="1" applyBorder="1" applyAlignment="1">
      <alignment horizontal="center" vertical="center"/>
    </xf>
    <xf numFmtId="0" fontId="248" fillId="0" borderId="8" xfId="0" applyFont="1" applyBorder="1" applyAlignment="1">
      <alignment horizontal="left" vertical="center"/>
    </xf>
    <xf numFmtId="0" fontId="232" fillId="0" borderId="12" xfId="0" applyFont="1" applyBorder="1" applyAlignment="1">
      <alignment horizontal="right" vertical="center"/>
    </xf>
    <xf numFmtId="0" fontId="239" fillId="0" borderId="0" xfId="0" applyFont="1" applyAlignment="1">
      <alignment horizontal="left" vertical="center"/>
    </xf>
    <xf numFmtId="0" fontId="241" fillId="0" borderId="13" xfId="0" applyFont="1" applyBorder="1" applyAlignment="1">
      <alignment horizontal="left" vertical="center"/>
    </xf>
    <xf numFmtId="0" fontId="230" fillId="0" borderId="54" xfId="0" applyFont="1" applyBorder="1" applyAlignment="1">
      <alignment horizontal="right" vertical="center" wrapText="1"/>
    </xf>
    <xf numFmtId="0" fontId="230" fillId="0" borderId="5" xfId="0" applyFont="1" applyBorder="1" applyAlignment="1">
      <alignment horizontal="right" vertical="center"/>
    </xf>
    <xf numFmtId="0" fontId="230" fillId="0" borderId="12" xfId="0" applyFont="1" applyBorder="1" applyAlignment="1">
      <alignment horizontal="right" vertical="center" wrapText="1"/>
    </xf>
    <xf numFmtId="0" fontId="230" fillId="0" borderId="48" xfId="0" applyFont="1" applyBorder="1" applyAlignment="1">
      <alignment horizontal="left" vertical="center"/>
    </xf>
    <xf numFmtId="0" fontId="230" fillId="0" borderId="0" xfId="0" applyFont="1" applyAlignment="1">
      <alignment horizontal="left" vertical="center"/>
    </xf>
    <xf numFmtId="0" fontId="232" fillId="0" borderId="0" xfId="0" applyFont="1" applyAlignment="1">
      <alignment vertical="center" wrapText="1"/>
    </xf>
    <xf numFmtId="0" fontId="270" fillId="0" borderId="0" xfId="0" applyFont="1" applyAlignment="1">
      <alignment vertical="center"/>
    </xf>
    <xf numFmtId="0" fontId="270" fillId="0" borderId="0" xfId="0" applyFont="1" applyAlignment="1">
      <alignment horizontal="left" vertical="center"/>
    </xf>
    <xf numFmtId="0" fontId="232" fillId="0" borderId="11" xfId="0" applyFont="1" applyBorder="1" applyAlignment="1">
      <alignment horizontal="right" vertical="center"/>
    </xf>
    <xf numFmtId="0" fontId="233" fillId="0" borderId="8" xfId="0" applyFont="1" applyBorder="1" applyAlignment="1">
      <alignment vertical="center"/>
    </xf>
    <xf numFmtId="0" fontId="243" fillId="0" borderId="23" xfId="0" applyFont="1" applyBorder="1" applyAlignment="1">
      <alignment horizontal="right" vertical="center"/>
    </xf>
    <xf numFmtId="0" fontId="230" fillId="0" borderId="54" xfId="0" applyFont="1" applyBorder="1" applyAlignment="1">
      <alignment horizontal="right" vertical="center"/>
    </xf>
    <xf numFmtId="0" fontId="254" fillId="0" borderId="0" xfId="0" applyFont="1" applyAlignment="1">
      <alignment vertical="center"/>
    </xf>
    <xf numFmtId="0" fontId="228" fillId="0" borderId="0" xfId="0" applyFont="1" applyAlignment="1">
      <alignment horizontal="left" vertical="center"/>
    </xf>
    <xf numFmtId="0" fontId="233" fillId="0" borderId="3" xfId="0" applyFont="1" applyBorder="1" applyAlignment="1">
      <alignment horizontal="left" vertical="center"/>
    </xf>
    <xf numFmtId="0" fontId="233" fillId="0" borderId="18" xfId="0" applyFont="1" applyBorder="1" applyAlignment="1">
      <alignment horizontal="left" vertical="center"/>
    </xf>
    <xf numFmtId="0" fontId="230" fillId="0" borderId="140" xfId="0" applyFont="1" applyBorder="1" applyAlignment="1">
      <alignment horizontal="right" vertical="center"/>
    </xf>
    <xf numFmtId="0" fontId="230" fillId="0" borderId="47" xfId="0" applyFont="1" applyBorder="1" applyAlignment="1">
      <alignment horizontal="center" vertical="center"/>
    </xf>
    <xf numFmtId="0" fontId="232" fillId="0" borderId="48" xfId="0" applyFont="1" applyBorder="1" applyAlignment="1">
      <alignment horizontal="right" vertical="center"/>
    </xf>
    <xf numFmtId="0" fontId="232" fillId="0" borderId="0" xfId="0" applyFont="1" applyAlignment="1">
      <alignment horizontal="right" vertical="center"/>
    </xf>
    <xf numFmtId="0" fontId="232" fillId="0" borderId="0" xfId="0" applyFont="1" applyAlignment="1">
      <alignment horizontal="left" vertical="center"/>
    </xf>
    <xf numFmtId="0" fontId="248" fillId="0" borderId="3" xfId="0" applyFont="1" applyBorder="1" applyAlignment="1">
      <alignment vertical="center"/>
    </xf>
    <xf numFmtId="0" fontId="233" fillId="0" borderId="5" xfId="0" applyFont="1" applyBorder="1" applyAlignment="1">
      <alignment vertical="center"/>
    </xf>
    <xf numFmtId="0" fontId="233" fillId="0" borderId="13" xfId="0" applyFont="1" applyBorder="1" applyAlignment="1">
      <alignment horizontal="left" vertical="center"/>
    </xf>
    <xf numFmtId="0" fontId="230" fillId="0" borderId="6" xfId="0" applyFont="1" applyBorder="1" applyAlignment="1">
      <alignment horizontal="right" vertical="center"/>
    </xf>
    <xf numFmtId="0" fontId="247" fillId="0" borderId="48" xfId="0" applyFont="1" applyBorder="1" applyAlignment="1">
      <alignment vertical="center"/>
    </xf>
    <xf numFmtId="0" fontId="247" fillId="0" borderId="0" xfId="0" applyFont="1" applyAlignment="1">
      <alignment vertical="center"/>
    </xf>
    <xf numFmtId="0" fontId="248" fillId="0" borderId="0" xfId="0" applyFont="1" applyAlignment="1">
      <alignment vertical="center" wrapText="1"/>
    </xf>
    <xf numFmtId="0" fontId="248" fillId="0" borderId="5" xfId="0" applyFont="1" applyBorder="1" applyAlignment="1">
      <alignment vertical="center"/>
    </xf>
    <xf numFmtId="0" fontId="233" fillId="0" borderId="8" xfId="0" applyFont="1" applyBorder="1" applyAlignment="1">
      <alignment horizontal="left" vertical="center"/>
    </xf>
    <xf numFmtId="0" fontId="235" fillId="0" borderId="26" xfId="0" applyFont="1" applyBorder="1" applyAlignment="1">
      <alignment horizontal="center" vertical="center"/>
    </xf>
    <xf numFmtId="0" fontId="230" fillId="0" borderId="27" xfId="0" applyFont="1" applyBorder="1" applyAlignment="1">
      <alignment horizontal="left" vertical="center"/>
    </xf>
    <xf numFmtId="0" fontId="230" fillId="0" borderId="24" xfId="0" applyFont="1" applyBorder="1" applyAlignment="1">
      <alignment horizontal="left" vertical="center"/>
    </xf>
    <xf numFmtId="0" fontId="232" fillId="0" borderId="24" xfId="0" applyFont="1" applyBorder="1" applyAlignment="1">
      <alignment vertical="center" wrapText="1"/>
    </xf>
    <xf numFmtId="0" fontId="232" fillId="0" borderId="25" xfId="0" applyFont="1" applyBorder="1" applyAlignment="1">
      <alignment horizontal="right" vertical="center"/>
    </xf>
    <xf numFmtId="0" fontId="230" fillId="0" borderId="27" xfId="0" applyFont="1" applyBorder="1" applyAlignment="1">
      <alignment horizontal="center" vertical="center"/>
    </xf>
    <xf numFmtId="0" fontId="239" fillId="0" borderId="20" xfId="0" applyFont="1" applyBorder="1" applyAlignment="1">
      <alignment horizontal="center" vertical="center"/>
    </xf>
    <xf numFmtId="0" fontId="239" fillId="0" borderId="37" xfId="0" applyFont="1" applyBorder="1" applyAlignment="1">
      <alignment horizontal="left" vertical="center"/>
    </xf>
    <xf numFmtId="0" fontId="232" fillId="0" borderId="41" xfId="0" applyFont="1" applyBorder="1" applyAlignment="1">
      <alignment horizontal="center" vertical="center"/>
    </xf>
    <xf numFmtId="0" fontId="232" fillId="0" borderId="17" xfId="0" applyFont="1" applyBorder="1" applyAlignment="1">
      <alignment horizontal="center" vertical="center"/>
    </xf>
    <xf numFmtId="0" fontId="230" fillId="0" borderId="20" xfId="0" applyFont="1" applyBorder="1" applyAlignment="1">
      <alignment horizontal="center" vertical="center"/>
    </xf>
    <xf numFmtId="0" fontId="237" fillId="0" borderId="17" xfId="0" applyFont="1" applyBorder="1" applyAlignment="1">
      <alignment vertical="center"/>
    </xf>
    <xf numFmtId="0" fontId="237" fillId="0" borderId="37" xfId="0" applyFont="1" applyBorder="1" applyAlignment="1">
      <alignment vertical="center"/>
    </xf>
    <xf numFmtId="0" fontId="230" fillId="0" borderId="31" xfId="0" applyFont="1" applyBorder="1" applyAlignment="1">
      <alignment horizontal="right" vertical="center"/>
    </xf>
    <xf numFmtId="0" fontId="232" fillId="0" borderId="3" xfId="0" applyFont="1" applyBorder="1" applyAlignment="1">
      <alignment vertical="center"/>
    </xf>
    <xf numFmtId="0" fontId="230" fillId="0" borderId="4" xfId="0" applyFont="1" applyBorder="1" applyAlignment="1">
      <alignment horizontal="left" vertical="center"/>
    </xf>
    <xf numFmtId="0" fontId="238" fillId="0" borderId="0" xfId="0" applyFont="1" applyAlignment="1">
      <alignment vertical="center" wrapText="1"/>
    </xf>
    <xf numFmtId="0" fontId="232" fillId="0" borderId="44" xfId="0" applyFont="1" applyBorder="1" applyAlignment="1">
      <alignment horizontal="left" vertical="center"/>
    </xf>
    <xf numFmtId="0" fontId="230" fillId="0" borderId="24" xfId="0" applyFont="1" applyBorder="1" applyAlignment="1">
      <alignment horizontal="right" vertical="center" wrapText="1"/>
    </xf>
    <xf numFmtId="0" fontId="230" fillId="0" borderId="24" xfId="0" applyFont="1" applyBorder="1" applyAlignment="1">
      <alignment vertical="center"/>
    </xf>
    <xf numFmtId="0" fontId="237" fillId="0" borderId="24" xfId="0" applyFont="1" applyBorder="1" applyAlignment="1">
      <alignment vertical="center"/>
    </xf>
    <xf numFmtId="0" fontId="230" fillId="0" borderId="25" xfId="0" applyFont="1" applyBorder="1" applyAlignment="1">
      <alignment horizontal="right" vertical="center"/>
    </xf>
    <xf numFmtId="0" fontId="233" fillId="0" borderId="24" xfId="0" applyFont="1" applyBorder="1" applyAlignment="1">
      <alignment horizontal="left" vertical="center"/>
    </xf>
    <xf numFmtId="0" fontId="232" fillId="0" borderId="22" xfId="0" applyFont="1" applyBorder="1" applyAlignment="1">
      <alignment horizontal="left" vertical="center"/>
    </xf>
    <xf numFmtId="0" fontId="235" fillId="0" borderId="20" xfId="0" applyFont="1" applyBorder="1" applyAlignment="1">
      <alignment horizontal="center" vertical="center"/>
    </xf>
    <xf numFmtId="0" fontId="235" fillId="0" borderId="15" xfId="0" applyFont="1" applyBorder="1" applyAlignment="1">
      <alignment vertical="center"/>
    </xf>
    <xf numFmtId="0" fontId="235" fillId="0" borderId="17" xfId="0" applyFont="1" applyBorder="1" applyAlignment="1">
      <alignment vertical="center"/>
    </xf>
    <xf numFmtId="0" fontId="249" fillId="0" borderId="17" xfId="0" applyFont="1" applyBorder="1" applyAlignment="1">
      <alignment vertical="center"/>
    </xf>
    <xf numFmtId="0" fontId="249" fillId="0" borderId="37" xfId="0" applyFont="1" applyBorder="1" applyAlignment="1">
      <alignment vertical="center"/>
    </xf>
    <xf numFmtId="0" fontId="244" fillId="0" borderId="45" xfId="0" applyFont="1" applyBorder="1" applyAlignment="1">
      <alignment horizontal="center" vertical="center"/>
    </xf>
    <xf numFmtId="0" fontId="244" fillId="0" borderId="138" xfId="0" applyFont="1" applyBorder="1" applyAlignment="1">
      <alignment horizontal="center" vertical="center"/>
    </xf>
    <xf numFmtId="0" fontId="245" fillId="0" borderId="3" xfId="0" applyFont="1" applyBorder="1" applyAlignment="1">
      <alignment horizontal="right" vertical="center"/>
    </xf>
    <xf numFmtId="165" fontId="235" fillId="0" borderId="31" xfId="0" applyNumberFormat="1" applyFont="1" applyBorder="1" applyAlignment="1">
      <alignment horizontal="center" vertical="center"/>
    </xf>
    <xf numFmtId="0" fontId="266" fillId="0" borderId="45" xfId="0" applyFont="1" applyBorder="1" applyAlignment="1">
      <alignment horizontal="left" vertical="center"/>
    </xf>
    <xf numFmtId="0" fontId="266" fillId="0" borderId="94" xfId="0" applyFont="1" applyBorder="1" applyAlignment="1">
      <alignment horizontal="left" vertical="center"/>
    </xf>
    <xf numFmtId="0" fontId="248" fillId="0" borderId="1" xfId="0" applyFont="1" applyBorder="1" applyAlignment="1">
      <alignment vertical="center"/>
    </xf>
    <xf numFmtId="0" fontId="252" fillId="0" borderId="120" xfId="0" applyFont="1" applyBorder="1" applyAlignment="1">
      <alignment horizontal="center" vertical="center"/>
    </xf>
    <xf numFmtId="0" fontId="248" fillId="0" borderId="8" xfId="0" applyFont="1" applyBorder="1" applyAlignment="1">
      <alignment vertical="center"/>
    </xf>
    <xf numFmtId="0" fontId="244" fillId="0" borderId="46" xfId="0" applyFont="1" applyBorder="1" applyAlignment="1">
      <alignment horizontal="center" vertical="center"/>
    </xf>
    <xf numFmtId="0" fontId="244" fillId="0" borderId="46" xfId="0" applyFont="1" applyBorder="1" applyAlignment="1">
      <alignment horizontal="right" vertical="center"/>
    </xf>
    <xf numFmtId="0" fontId="232" fillId="0" borderId="28" xfId="0" applyFont="1" applyBorder="1" applyAlignment="1">
      <alignment horizontal="left" vertical="center"/>
    </xf>
    <xf numFmtId="0" fontId="235" fillId="0" borderId="46" xfId="0" applyFont="1" applyBorder="1" applyAlignment="1">
      <alignment horizontal="right" vertical="center"/>
    </xf>
    <xf numFmtId="0" fontId="230" fillId="0" borderId="16" xfId="0" applyFont="1" applyBorder="1" applyAlignment="1">
      <alignment vertical="center"/>
    </xf>
    <xf numFmtId="0" fontId="250" fillId="0" borderId="16" xfId="0" applyFont="1" applyBorder="1" applyAlignment="1">
      <alignment vertical="center"/>
    </xf>
    <xf numFmtId="0" fontId="250" fillId="0" borderId="18" xfId="0" applyFont="1" applyBorder="1" applyAlignment="1">
      <alignment vertical="center"/>
    </xf>
    <xf numFmtId="0" fontId="232" fillId="0" borderId="29" xfId="0" applyFont="1" applyBorder="1" applyAlignment="1">
      <alignment horizontal="right" vertical="center"/>
    </xf>
    <xf numFmtId="165" fontId="230" fillId="0" borderId="20" xfId="0" applyNumberFormat="1" applyFont="1" applyBorder="1" applyAlignment="1">
      <alignment horizontal="center" vertical="center"/>
    </xf>
    <xf numFmtId="0" fontId="230" fillId="0" borderId="17" xfId="0" applyFont="1" applyBorder="1" applyAlignment="1">
      <alignment vertical="center"/>
    </xf>
    <xf numFmtId="0" fontId="232" fillId="0" borderId="37" xfId="0" applyFont="1" applyBorder="1" applyAlignment="1">
      <alignment horizontal="left" vertical="center"/>
    </xf>
    <xf numFmtId="0" fontId="235" fillId="0" borderId="24" xfId="0" applyFont="1" applyBorder="1" applyAlignment="1">
      <alignment horizontal="right" vertical="center"/>
    </xf>
    <xf numFmtId="0" fontId="250" fillId="0" borderId="23" xfId="0" applyFont="1" applyBorder="1" applyAlignment="1">
      <alignment vertical="center"/>
    </xf>
    <xf numFmtId="0" fontId="5" fillId="0" borderId="0" xfId="0" applyFont="1" applyAlignment="1">
      <alignment horizontal="left" vertical="center"/>
    </xf>
    <xf numFmtId="2" fontId="230" fillId="0" borderId="31" xfId="0" applyNumberFormat="1" applyFont="1" applyBorder="1" applyAlignment="1">
      <alignment horizontal="center" vertical="center"/>
    </xf>
    <xf numFmtId="0" fontId="247" fillId="0" borderId="18" xfId="0" applyFont="1" applyBorder="1" applyAlignment="1">
      <alignment vertical="center"/>
    </xf>
    <xf numFmtId="0" fontId="248" fillId="0" borderId="3" xfId="0" applyFont="1" applyBorder="1"/>
    <xf numFmtId="0" fontId="244" fillId="0" borderId="24" xfId="0" applyFont="1" applyBorder="1" applyAlignment="1">
      <alignment horizontal="center" vertical="center"/>
    </xf>
    <xf numFmtId="0" fontId="244" fillId="0" borderId="25" xfId="0" applyFont="1" applyBorder="1" applyAlignment="1">
      <alignment horizontal="center" vertical="center"/>
    </xf>
    <xf numFmtId="0" fontId="234" fillId="0" borderId="25" xfId="0" applyFont="1" applyBorder="1" applyAlignment="1">
      <alignment horizontal="right" vertical="center"/>
    </xf>
    <xf numFmtId="166" fontId="230" fillId="0" borderId="8" xfId="0" applyNumberFormat="1" applyFont="1" applyBorder="1" applyAlignment="1">
      <alignment horizontal="left" vertical="center"/>
    </xf>
    <xf numFmtId="0" fontId="230" fillId="0" borderId="23" xfId="0" applyFont="1" applyBorder="1" applyAlignment="1">
      <alignment horizontal="left" vertical="center"/>
    </xf>
    <xf numFmtId="0" fontId="248" fillId="0" borderId="0" xfId="0" applyFont="1" applyAlignment="1">
      <alignment vertical="center"/>
    </xf>
    <xf numFmtId="0" fontId="3" fillId="0" borderId="0" xfId="0" applyFont="1" applyAlignment="1">
      <alignment horizontal="left" vertical="center"/>
    </xf>
    <xf numFmtId="0" fontId="248" fillId="0" borderId="5" xfId="0" applyFont="1" applyBorder="1"/>
    <xf numFmtId="0" fontId="232" fillId="0" borderId="46" xfId="0" applyFont="1" applyBorder="1" applyAlignment="1">
      <alignment horizontal="center" vertical="center"/>
    </xf>
    <xf numFmtId="0" fontId="230" fillId="0" borderId="19" xfId="0" applyFont="1" applyBorder="1" applyAlignment="1">
      <alignment horizontal="right" vertical="center"/>
    </xf>
    <xf numFmtId="0" fontId="230" fillId="0" borderId="3" xfId="0" applyFont="1" applyBorder="1" applyAlignment="1">
      <alignment horizontal="center" vertical="center"/>
    </xf>
    <xf numFmtId="0" fontId="246" fillId="0" borderId="0" xfId="0" applyFont="1" applyAlignment="1">
      <alignment vertical="center"/>
    </xf>
    <xf numFmtId="0" fontId="229" fillId="0" borderId="0" xfId="0" applyFont="1" applyAlignment="1">
      <alignment vertical="center"/>
    </xf>
    <xf numFmtId="0" fontId="248" fillId="0" borderId="0" xfId="0" applyFont="1" applyAlignment="1">
      <alignment horizontal="right" vertical="center"/>
    </xf>
    <xf numFmtId="0" fontId="246" fillId="0" borderId="0" xfId="0" applyFont="1" applyAlignment="1">
      <alignment horizontal="left" vertical="center"/>
    </xf>
    <xf numFmtId="170" fontId="230" fillId="0" borderId="1" xfId="0" applyNumberFormat="1" applyFont="1" applyBorder="1" applyAlignment="1">
      <alignment horizontal="center" vertical="center"/>
    </xf>
    <xf numFmtId="170" fontId="230" fillId="0" borderId="10" xfId="0" applyNumberFormat="1" applyFont="1" applyBorder="1" applyAlignment="1">
      <alignment horizontal="center" vertical="center"/>
    </xf>
    <xf numFmtId="0" fontId="230" fillId="0" borderId="16" xfId="0" applyFont="1" applyBorder="1" applyAlignment="1">
      <alignment horizontal="right" vertical="center"/>
    </xf>
    <xf numFmtId="170" fontId="230" fillId="0" borderId="18" xfId="0" applyNumberFormat="1" applyFont="1" applyBorder="1" applyAlignment="1">
      <alignment horizontal="left" vertical="center"/>
    </xf>
    <xf numFmtId="0" fontId="232" fillId="0" borderId="25" xfId="0" applyFont="1" applyBorder="1" applyAlignment="1">
      <alignment horizontal="center" vertical="center"/>
    </xf>
    <xf numFmtId="170" fontId="230" fillId="0" borderId="7" xfId="0" applyNumberFormat="1" applyFont="1" applyBorder="1" applyAlignment="1">
      <alignment horizontal="center" vertical="center"/>
    </xf>
    <xf numFmtId="170" fontId="230" fillId="0" borderId="11" xfId="0" applyNumberFormat="1" applyFont="1" applyBorder="1" applyAlignment="1">
      <alignment horizontal="center" vertical="center"/>
    </xf>
    <xf numFmtId="0" fontId="230" fillId="0" borderId="14" xfId="0" applyFont="1" applyBorder="1" applyAlignment="1">
      <alignment horizontal="right" vertical="center"/>
    </xf>
    <xf numFmtId="170" fontId="230" fillId="0" borderId="23" xfId="0" applyNumberFormat="1" applyFont="1" applyBorder="1" applyAlignment="1">
      <alignment horizontal="left" vertical="center"/>
    </xf>
    <xf numFmtId="0" fontId="266" fillId="0" borderId="134" xfId="0" applyFont="1" applyBorder="1" applyAlignment="1">
      <alignment horizontal="left" vertical="center"/>
    </xf>
    <xf numFmtId="0" fontId="248" fillId="0" borderId="8" xfId="0" applyFont="1" applyBorder="1"/>
    <xf numFmtId="0" fontId="266" fillId="0" borderId="0" xfId="0" applyFont="1" applyAlignment="1">
      <alignment horizontal="left" vertical="center"/>
    </xf>
    <xf numFmtId="0" fontId="266" fillId="0" borderId="28" xfId="0" applyFont="1" applyBorder="1" applyAlignment="1">
      <alignment horizontal="left" vertical="center"/>
    </xf>
    <xf numFmtId="0" fontId="34" fillId="0" borderId="0" xfId="0" applyFont="1" applyAlignment="1">
      <alignment vertical="center" wrapText="1"/>
    </xf>
    <xf numFmtId="0" fontId="266" fillId="0" borderId="24" xfId="0" applyFont="1" applyBorder="1" applyAlignment="1">
      <alignment vertical="center"/>
    </xf>
    <xf numFmtId="0" fontId="267" fillId="0" borderId="24" xfId="0" applyFont="1" applyBorder="1" applyAlignment="1">
      <alignment vertical="center"/>
    </xf>
    <xf numFmtId="0" fontId="268" fillId="0" borderId="24" xfId="0" applyFont="1" applyBorder="1" applyAlignment="1">
      <alignment vertical="center"/>
    </xf>
    <xf numFmtId="0" fontId="268" fillId="0" borderId="22" xfId="0" applyFont="1" applyBorder="1" applyAlignment="1">
      <alignment vertical="center"/>
    </xf>
    <xf numFmtId="0" fontId="254" fillId="0" borderId="24" xfId="0" applyFont="1" applyBorder="1" applyAlignment="1">
      <alignment vertical="center"/>
    </xf>
    <xf numFmtId="0" fontId="226" fillId="0" borderId="112" xfId="0" applyFont="1" applyBorder="1" applyAlignment="1">
      <alignment vertical="center"/>
    </xf>
    <xf numFmtId="0" fontId="226" fillId="0" borderId="85" xfId="0" applyFont="1" applyBorder="1" applyAlignment="1">
      <alignment vertical="center"/>
    </xf>
    <xf numFmtId="0" fontId="248" fillId="0" borderId="44" xfId="0" applyFont="1" applyBorder="1" applyAlignment="1">
      <alignment horizontal="right" vertical="center"/>
    </xf>
    <xf numFmtId="2" fontId="248" fillId="0" borderId="26" xfId="0" applyNumberFormat="1" applyFont="1" applyBorder="1" applyAlignment="1">
      <alignment horizontal="center" vertical="center"/>
    </xf>
    <xf numFmtId="0" fontId="248" fillId="0" borderId="24" xfId="0" applyFont="1" applyBorder="1" applyAlignment="1">
      <alignment vertical="center"/>
    </xf>
    <xf numFmtId="0" fontId="248" fillId="0" borderId="22" xfId="0" applyFont="1" applyBorder="1" applyAlignment="1">
      <alignment vertical="center"/>
    </xf>
    <xf numFmtId="0" fontId="352" fillId="0" borderId="0" xfId="0" applyFont="1"/>
    <xf numFmtId="0" fontId="246" fillId="0" borderId="0" xfId="0" applyFont="1" applyAlignment="1">
      <alignment vertical="center" wrapText="1"/>
    </xf>
    <xf numFmtId="0" fontId="226" fillId="0" borderId="40" xfId="0" applyFont="1" applyBorder="1" applyAlignment="1">
      <alignment vertical="center"/>
    </xf>
    <xf numFmtId="0" fontId="226" fillId="0" borderId="56" xfId="0" applyFont="1" applyBorder="1" applyAlignment="1">
      <alignment vertical="center"/>
    </xf>
    <xf numFmtId="0" fontId="248" fillId="0" borderId="56" xfId="0" applyFont="1" applyBorder="1" applyAlignment="1">
      <alignment horizontal="right" vertical="center"/>
    </xf>
    <xf numFmtId="0" fontId="227" fillId="0" borderId="56" xfId="0" applyFont="1" applyBorder="1" applyAlignment="1">
      <alignment horizontal="center" vertical="center"/>
    </xf>
    <xf numFmtId="0" fontId="248" fillId="0" borderId="56" xfId="0" applyFont="1" applyBorder="1" applyAlignment="1">
      <alignment horizontal="left" vertical="center"/>
    </xf>
    <xf numFmtId="0" fontId="228" fillId="0" borderId="56" xfId="0" applyFont="1" applyBorder="1" applyAlignment="1">
      <alignment vertical="center"/>
    </xf>
    <xf numFmtId="0" fontId="253" fillId="0" borderId="0" xfId="0" applyFont="1" applyAlignment="1">
      <alignment horizontal="center" vertical="top" wrapText="1"/>
    </xf>
    <xf numFmtId="0" fontId="229" fillId="5" borderId="29" xfId="0" applyFont="1" applyFill="1" applyBorder="1" applyAlignment="1">
      <alignment horizontal="center" vertical="center"/>
    </xf>
    <xf numFmtId="0" fontId="229" fillId="5" borderId="20" xfId="0" applyFont="1" applyFill="1" applyBorder="1" applyAlignment="1">
      <alignment horizontal="center" vertical="center"/>
    </xf>
    <xf numFmtId="0" fontId="255" fillId="0" borderId="25" xfId="0" applyFont="1" applyBorder="1" applyAlignment="1">
      <alignment horizontal="right" vertical="top"/>
    </xf>
    <xf numFmtId="0" fontId="244" fillId="0" borderId="26" xfId="0" applyFont="1" applyBorder="1" applyAlignment="1">
      <alignment horizontal="center" vertical="center"/>
    </xf>
    <xf numFmtId="0" fontId="233" fillId="0" borderId="22" xfId="0" applyFont="1" applyBorder="1" applyAlignment="1">
      <alignment horizontal="left" vertical="center"/>
    </xf>
    <xf numFmtId="172" fontId="232" fillId="0" borderId="19" xfId="0" applyNumberFormat="1" applyFont="1" applyBorder="1" applyAlignment="1">
      <alignment horizontal="center" vertical="center"/>
    </xf>
    <xf numFmtId="0" fontId="232" fillId="0" borderId="31" xfId="0" applyFont="1" applyBorder="1" applyAlignment="1">
      <alignment horizontal="center" vertical="center"/>
    </xf>
    <xf numFmtId="0" fontId="230" fillId="0" borderId="21" xfId="0" applyFont="1" applyBorder="1" applyAlignment="1">
      <alignment horizontal="left" vertical="center"/>
    </xf>
    <xf numFmtId="0" fontId="232" fillId="0" borderId="4" xfId="0" applyFont="1" applyBorder="1" applyAlignment="1">
      <alignment horizontal="left" vertical="center"/>
    </xf>
    <xf numFmtId="172" fontId="232" fillId="0" borderId="25" xfId="0" applyNumberFormat="1" applyFont="1" applyBorder="1" applyAlignment="1">
      <alignment horizontal="center" vertical="center"/>
    </xf>
    <xf numFmtId="0" fontId="233" fillId="0" borderId="9" xfId="0" applyFont="1" applyBorder="1" applyAlignment="1">
      <alignment horizontal="left" vertical="center"/>
    </xf>
    <xf numFmtId="0" fontId="252" fillId="0" borderId="0" xfId="0" applyFont="1" applyAlignment="1">
      <alignment horizontal="left" vertical="center"/>
    </xf>
    <xf numFmtId="0" fontId="43" fillId="0" borderId="0" xfId="0" applyFont="1" applyAlignment="1">
      <alignment horizontal="left" vertical="center"/>
    </xf>
    <xf numFmtId="0" fontId="232" fillId="0" borderId="1" xfId="0" applyFont="1" applyBorder="1" applyAlignment="1">
      <alignment horizontal="center" vertical="center"/>
    </xf>
    <xf numFmtId="0" fontId="230" fillId="0" borderId="14" xfId="0" applyFont="1" applyBorder="1" applyAlignment="1">
      <alignment horizontal="left" vertical="center"/>
    </xf>
    <xf numFmtId="0" fontId="232" fillId="0" borderId="18" xfId="0" applyFont="1" applyBorder="1" applyAlignment="1">
      <alignment horizontal="left" vertical="center"/>
    </xf>
    <xf numFmtId="2" fontId="232" fillId="0" borderId="19" xfId="0" applyNumberFormat="1" applyFont="1" applyBorder="1" applyAlignment="1">
      <alignment horizontal="center" vertical="center"/>
    </xf>
    <xf numFmtId="0" fontId="233" fillId="0" borderId="16" xfId="0" applyFont="1" applyBorder="1" applyAlignment="1">
      <alignment horizontal="left" vertical="center"/>
    </xf>
    <xf numFmtId="0" fontId="13" fillId="0" borderId="0" xfId="0" applyFont="1" applyAlignment="1">
      <alignment vertical="center"/>
    </xf>
    <xf numFmtId="0" fontId="8" fillId="0" borderId="0" xfId="0" applyFont="1" applyAlignment="1">
      <alignment vertical="center"/>
    </xf>
    <xf numFmtId="0" fontId="244" fillId="0" borderId="25" xfId="0" applyFont="1" applyBorder="1" applyAlignment="1">
      <alignment horizontal="right" vertical="center"/>
    </xf>
    <xf numFmtId="0" fontId="230" fillId="0" borderId="8" xfId="0" applyFont="1" applyBorder="1" applyAlignment="1">
      <alignment vertical="center"/>
    </xf>
    <xf numFmtId="0" fontId="230" fillId="0" borderId="23" xfId="0" applyFont="1" applyBorder="1" applyAlignment="1">
      <alignment vertical="center"/>
    </xf>
    <xf numFmtId="2" fontId="232" fillId="0" borderId="25" xfId="0" applyNumberFormat="1" applyFont="1" applyBorder="1" applyAlignment="1">
      <alignment horizontal="center" vertical="center"/>
    </xf>
    <xf numFmtId="0" fontId="252" fillId="0" borderId="28" xfId="0" applyFont="1" applyBorder="1" applyAlignment="1">
      <alignment horizontal="left" vertical="center"/>
    </xf>
    <xf numFmtId="0" fontId="226" fillId="0" borderId="3" xfId="0" applyFont="1" applyBorder="1" applyAlignment="1">
      <alignment vertical="center"/>
    </xf>
    <xf numFmtId="0" fontId="8" fillId="0" borderId="0" xfId="0" applyFont="1" applyAlignment="1">
      <alignment horizontal="center" vertical="center"/>
    </xf>
    <xf numFmtId="0" fontId="239" fillId="0" borderId="21" xfId="0" applyFont="1" applyBorder="1" applyAlignment="1">
      <alignment horizontal="left" vertical="center"/>
    </xf>
    <xf numFmtId="0" fontId="232" fillId="0" borderId="29" xfId="0" applyFont="1" applyBorder="1" applyAlignment="1">
      <alignment horizontal="center" vertical="center"/>
    </xf>
    <xf numFmtId="0" fontId="244" fillId="0" borderId="29" xfId="0" applyFont="1" applyBorder="1" applyAlignment="1">
      <alignment horizontal="right" vertical="center"/>
    </xf>
    <xf numFmtId="0" fontId="244" fillId="0" borderId="29" xfId="0" applyFont="1" applyBorder="1" applyAlignment="1">
      <alignment horizontal="center" vertical="center"/>
    </xf>
    <xf numFmtId="0" fontId="233" fillId="0" borderId="15" xfId="0" applyFont="1" applyBorder="1" applyAlignment="1">
      <alignment vertical="center"/>
    </xf>
    <xf numFmtId="0" fontId="233" fillId="0" borderId="17" xfId="0" applyFont="1" applyBorder="1" applyAlignment="1">
      <alignment vertical="center"/>
    </xf>
    <xf numFmtId="0" fontId="233" fillId="0" borderId="37" xfId="0" applyFont="1" applyBorder="1" applyAlignment="1">
      <alignment vertical="center"/>
    </xf>
    <xf numFmtId="0" fontId="246" fillId="0" borderId="28" xfId="0" applyFont="1" applyBorder="1" applyAlignment="1">
      <alignment horizontal="left" vertical="center"/>
    </xf>
    <xf numFmtId="0" fontId="239" fillId="0" borderId="10" xfId="0" applyFont="1" applyBorder="1" applyAlignment="1">
      <alignment vertical="center"/>
    </xf>
    <xf numFmtId="0" fontId="244" fillId="0" borderId="19" xfId="0" applyFont="1" applyBorder="1" applyAlignment="1">
      <alignment horizontal="right" vertical="center"/>
    </xf>
    <xf numFmtId="0" fontId="244" fillId="0" borderId="19" xfId="0" applyFont="1" applyBorder="1" applyAlignment="1">
      <alignment horizontal="center" vertical="center"/>
    </xf>
    <xf numFmtId="0" fontId="233" fillId="0" borderId="16" xfId="0" applyFont="1" applyBorder="1" applyAlignment="1">
      <alignment vertical="center"/>
    </xf>
    <xf numFmtId="0" fontId="233" fillId="0" borderId="18" xfId="0" applyFont="1" applyBorder="1" applyAlignment="1">
      <alignment vertical="center"/>
    </xf>
    <xf numFmtId="0" fontId="244" fillId="0" borderId="11" xfId="0" applyFont="1" applyBorder="1" applyAlignment="1">
      <alignment horizontal="right" vertical="center"/>
    </xf>
    <xf numFmtId="0" fontId="244" fillId="0" borderId="7" xfId="0" applyFont="1" applyBorder="1" applyAlignment="1">
      <alignment horizontal="center" vertical="center"/>
    </xf>
    <xf numFmtId="0" fontId="239" fillId="0" borderId="9" xfId="0" applyFont="1" applyBorder="1" applyAlignment="1">
      <alignment horizontal="left" vertical="center"/>
    </xf>
    <xf numFmtId="0" fontId="226" fillId="0" borderId="51" xfId="0" applyFont="1" applyBorder="1" applyAlignment="1">
      <alignment vertical="center"/>
    </xf>
    <xf numFmtId="0" fontId="247" fillId="0" borderId="15" xfId="0" applyFont="1" applyBorder="1" applyAlignment="1">
      <alignment vertical="center"/>
    </xf>
    <xf numFmtId="0" fontId="247" fillId="0" borderId="24" xfId="0" applyFont="1" applyBorder="1" applyAlignment="1">
      <alignment vertical="center"/>
    </xf>
    <xf numFmtId="0" fontId="233" fillId="0" borderId="8" xfId="0" applyFont="1" applyBorder="1" applyAlignment="1">
      <alignment horizontal="right" vertical="center"/>
    </xf>
    <xf numFmtId="0" fontId="233" fillId="0" borderId="37" xfId="0" applyFont="1" applyBorder="1" applyAlignment="1">
      <alignment horizontal="left" vertical="center"/>
    </xf>
    <xf numFmtId="0" fontId="257" fillId="0" borderId="28" xfId="0" applyFont="1" applyBorder="1" applyAlignment="1">
      <alignment vertical="center"/>
    </xf>
    <xf numFmtId="0" fontId="232" fillId="0" borderId="6" xfId="0" applyFont="1" applyBorder="1" applyAlignment="1">
      <alignment horizontal="right" vertical="center"/>
    </xf>
    <xf numFmtId="0" fontId="232" fillId="0" borderId="2" xfId="0" applyFont="1" applyBorder="1" applyAlignment="1">
      <alignment horizontal="center" vertical="center"/>
    </xf>
    <xf numFmtId="0" fontId="239" fillId="0" borderId="21" xfId="0" applyFont="1" applyBorder="1" applyAlignment="1">
      <alignment horizontal="center" vertical="center"/>
    </xf>
    <xf numFmtId="0" fontId="244" fillId="0" borderId="138" xfId="0" applyFont="1" applyBorder="1" applyAlignment="1">
      <alignment horizontal="right" vertical="center"/>
    </xf>
    <xf numFmtId="0" fontId="239" fillId="0" borderId="27" xfId="0" applyFont="1" applyBorder="1" applyAlignment="1">
      <alignment horizontal="left" vertical="center"/>
    </xf>
    <xf numFmtId="0" fontId="239" fillId="0" borderId="24" xfId="0" applyFont="1" applyBorder="1" applyAlignment="1">
      <alignment horizontal="left" vertical="center"/>
    </xf>
    <xf numFmtId="0" fontId="244" fillId="0" borderId="24" xfId="0" applyFont="1" applyBorder="1" applyAlignment="1">
      <alignment horizontal="right" vertical="center"/>
    </xf>
    <xf numFmtId="0" fontId="244" fillId="0" borderId="22" xfId="0" applyFont="1" applyBorder="1" applyAlignment="1">
      <alignment horizontal="left" vertical="center"/>
    </xf>
    <xf numFmtId="0" fontId="239" fillId="0" borderId="28" xfId="0" applyFont="1" applyBorder="1" applyAlignment="1">
      <alignment horizontal="left" vertical="center"/>
    </xf>
    <xf numFmtId="0" fontId="67" fillId="0" borderId="0" xfId="0" applyFont="1" applyAlignment="1">
      <alignment horizontal="center" vertical="center"/>
    </xf>
    <xf numFmtId="0" fontId="232" fillId="0" borderId="9" xfId="0" applyFont="1" applyBorder="1" applyAlignment="1">
      <alignment horizontal="left" vertical="center"/>
    </xf>
    <xf numFmtId="0" fontId="232" fillId="0" borderId="23" xfId="0" applyFont="1" applyBorder="1" applyAlignment="1">
      <alignment horizontal="left" vertical="center"/>
    </xf>
    <xf numFmtId="0" fontId="228" fillId="0" borderId="51" xfId="0" applyFont="1" applyBorder="1" applyAlignment="1">
      <alignment vertical="center"/>
    </xf>
    <xf numFmtId="165" fontId="230" fillId="0" borderId="29" xfId="0" applyNumberFormat="1" applyFont="1" applyBorder="1" applyAlignment="1">
      <alignment horizontal="center" vertical="center"/>
    </xf>
    <xf numFmtId="0" fontId="237" fillId="0" borderId="27" xfId="0" applyFont="1" applyBorder="1" applyAlignment="1">
      <alignment horizontal="left" vertical="center"/>
    </xf>
    <xf numFmtId="0" fontId="237" fillId="0" borderId="24" xfId="0" applyFont="1" applyBorder="1" applyAlignment="1">
      <alignment horizontal="left" vertical="center"/>
    </xf>
    <xf numFmtId="0" fontId="259" fillId="0" borderId="22" xfId="0" applyFont="1" applyBorder="1" applyAlignment="1">
      <alignment vertical="center"/>
    </xf>
    <xf numFmtId="0" fontId="44" fillId="0" borderId="0" xfId="0" applyFont="1" applyAlignment="1">
      <alignment horizontal="left" vertical="center"/>
    </xf>
    <xf numFmtId="0" fontId="260" fillId="0" borderId="20" xfId="0" applyFont="1" applyBorder="1" applyAlignment="1">
      <alignment horizontal="right" vertical="center"/>
    </xf>
    <xf numFmtId="0" fontId="232" fillId="0" borderId="20" xfId="0" applyFont="1" applyBorder="1" applyAlignment="1">
      <alignment horizontal="center" vertical="center"/>
    </xf>
    <xf numFmtId="0" fontId="239" fillId="0" borderId="15" xfId="0" applyFont="1" applyBorder="1" applyAlignment="1">
      <alignment horizontal="left" vertical="center"/>
    </xf>
    <xf numFmtId="0" fontId="254" fillId="0" borderId="17" xfId="0" applyFont="1" applyBorder="1" applyAlignment="1">
      <alignment vertical="center"/>
    </xf>
    <xf numFmtId="0" fontId="226" fillId="0" borderId="17" xfId="0" applyFont="1" applyBorder="1" applyAlignment="1">
      <alignment vertical="center"/>
    </xf>
    <xf numFmtId="0" fontId="251" fillId="0" borderId="17" xfId="0" applyFont="1" applyBorder="1" applyAlignment="1">
      <alignment vertical="center"/>
    </xf>
    <xf numFmtId="0" fontId="229" fillId="0" borderId="0" xfId="0" applyFont="1" applyAlignment="1">
      <alignment horizontal="left" vertical="center"/>
    </xf>
    <xf numFmtId="0" fontId="232" fillId="0" borderId="45" xfId="0" applyFont="1" applyBorder="1" applyAlignment="1">
      <alignment horizontal="center" vertical="center"/>
    </xf>
    <xf numFmtId="0" fontId="233" fillId="0" borderId="21" xfId="0" applyFont="1" applyBorder="1" applyAlignment="1">
      <alignment vertical="center"/>
    </xf>
    <xf numFmtId="178" fontId="233" fillId="0" borderId="4" xfId="0" applyNumberFormat="1" applyFont="1" applyBorder="1" applyAlignment="1">
      <alignment horizontal="left" vertical="center"/>
    </xf>
    <xf numFmtId="0" fontId="226" fillId="0" borderId="107" xfId="0" applyFont="1" applyBorder="1" applyAlignment="1">
      <alignment vertical="center"/>
    </xf>
    <xf numFmtId="0" fontId="248" fillId="0" borderId="24" xfId="0" applyFont="1" applyBorder="1" applyAlignment="1">
      <alignment horizontal="center" vertical="center" wrapText="1"/>
    </xf>
    <xf numFmtId="0" fontId="248" fillId="0" borderId="22" xfId="0" applyFont="1" applyBorder="1" applyAlignment="1">
      <alignment horizontal="center" vertical="center" wrapText="1"/>
    </xf>
    <xf numFmtId="0" fontId="262" fillId="16" borderId="25" xfId="0" applyFont="1" applyFill="1" applyBorder="1" applyAlignment="1">
      <alignment horizontal="center"/>
    </xf>
    <xf numFmtId="0" fontId="262" fillId="16" borderId="113" xfId="0" applyFont="1" applyFill="1" applyBorder="1" applyAlignment="1">
      <alignment horizontal="center"/>
    </xf>
    <xf numFmtId="0" fontId="246" fillId="0" borderId="44" xfId="0" applyFont="1" applyBorder="1" applyAlignment="1">
      <alignment horizontal="left" vertical="center"/>
    </xf>
    <xf numFmtId="0" fontId="246" fillId="0" borderId="24" xfId="0" applyFont="1" applyBorder="1" applyAlignment="1">
      <alignment horizontal="left" vertical="center"/>
    </xf>
    <xf numFmtId="0" fontId="263" fillId="0" borderId="37" xfId="0" applyFont="1" applyBorder="1" applyAlignment="1">
      <alignment horizontal="left" vertical="center"/>
    </xf>
    <xf numFmtId="0" fontId="248" fillId="0" borderId="3" xfId="0" applyFont="1" applyBorder="1" applyAlignment="1">
      <alignment horizontal="left" vertical="center"/>
    </xf>
    <xf numFmtId="178" fontId="233" fillId="0" borderId="22" xfId="0" applyNumberFormat="1" applyFont="1" applyBorder="1" applyAlignment="1">
      <alignment horizontal="left" vertical="center"/>
    </xf>
    <xf numFmtId="0" fontId="244" fillId="0" borderId="6" xfId="0" applyFont="1" applyBorder="1" applyAlignment="1">
      <alignment horizontal="right" vertical="center"/>
    </xf>
    <xf numFmtId="177" fontId="232" fillId="17" borderId="6" xfId="0" applyNumberFormat="1" applyFont="1" applyFill="1" applyBorder="1" applyAlignment="1">
      <alignment horizontal="center" vertical="center"/>
    </xf>
    <xf numFmtId="0" fontId="239" fillId="0" borderId="6" xfId="0" applyFont="1" applyBorder="1" applyAlignment="1">
      <alignment horizontal="left" vertical="center"/>
    </xf>
    <xf numFmtId="0" fontId="239" fillId="0" borderId="16" xfId="0" applyFont="1" applyBorder="1" applyAlignment="1">
      <alignment horizontal="left" vertical="center"/>
    </xf>
    <xf numFmtId="0" fontId="264" fillId="0" borderId="28" xfId="0" applyFont="1" applyBorder="1" applyAlignment="1">
      <alignment horizontal="left" vertical="center"/>
    </xf>
    <xf numFmtId="0" fontId="232" fillId="0" borderId="20" xfId="0" applyFont="1" applyBorder="1" applyAlignment="1">
      <alignment horizontal="right" vertical="center"/>
    </xf>
    <xf numFmtId="165" fontId="232" fillId="0" borderId="7" xfId="0" applyNumberFormat="1" applyFont="1" applyBorder="1" applyAlignment="1">
      <alignment horizontal="center" vertical="center"/>
    </xf>
    <xf numFmtId="0" fontId="230" fillId="0" borderId="15" xfId="0" applyFont="1" applyBorder="1" applyAlignment="1">
      <alignment horizontal="left" vertical="center"/>
    </xf>
    <xf numFmtId="0" fontId="228" fillId="0" borderId="0" xfId="0" applyFont="1" applyAlignment="1">
      <alignment horizontal="center" vertical="center"/>
    </xf>
    <xf numFmtId="0" fontId="239" fillId="0" borderId="5" xfId="0" applyFont="1" applyBorder="1" applyAlignment="1">
      <alignment horizontal="left" vertical="center"/>
    </xf>
    <xf numFmtId="0" fontId="239" fillId="0" borderId="13" xfId="0" applyFont="1" applyBorder="1" applyAlignment="1">
      <alignment horizontal="left" vertical="center"/>
    </xf>
    <xf numFmtId="165" fontId="244" fillId="0" borderId="20" xfId="0" applyNumberFormat="1" applyFont="1" applyBorder="1" applyAlignment="1">
      <alignment horizontal="center" vertical="center"/>
    </xf>
    <xf numFmtId="0" fontId="232" fillId="0" borderId="15" xfId="0" applyFont="1" applyBorder="1" applyAlignment="1">
      <alignment horizontal="left" vertical="center"/>
    </xf>
    <xf numFmtId="0" fontId="239" fillId="0" borderId="12" xfId="0" applyFont="1" applyBorder="1" applyAlignment="1">
      <alignment horizontal="left" vertical="center"/>
    </xf>
    <xf numFmtId="2" fontId="232" fillId="0" borderId="26" xfId="0" applyNumberFormat="1" applyFont="1" applyBorder="1" applyAlignment="1">
      <alignment horizontal="center" vertical="center"/>
    </xf>
    <xf numFmtId="0" fontId="232" fillId="0" borderId="27" xfId="0" applyFont="1" applyBorder="1" applyAlignment="1">
      <alignment horizontal="left" vertical="center"/>
    </xf>
    <xf numFmtId="0" fontId="239" fillId="0" borderId="22" xfId="0" applyFont="1" applyBorder="1" applyAlignment="1">
      <alignment horizontal="left" vertical="center"/>
    </xf>
    <xf numFmtId="0" fontId="232" fillId="0" borderId="45" xfId="0" applyFont="1" applyBorder="1" applyAlignment="1">
      <alignment horizontal="right" vertical="center"/>
    </xf>
    <xf numFmtId="0" fontId="250" fillId="0" borderId="45" xfId="0" applyFont="1" applyBorder="1" applyAlignment="1">
      <alignment vertical="center"/>
    </xf>
    <xf numFmtId="2" fontId="232" fillId="17" borderId="6" xfId="0" applyNumberFormat="1" applyFont="1" applyFill="1" applyBorder="1" applyAlignment="1">
      <alignment horizontal="center" vertical="center"/>
    </xf>
    <xf numFmtId="0" fontId="239" fillId="0" borderId="14" xfId="0" applyFont="1" applyBorder="1" applyAlignment="1">
      <alignment horizontal="left" vertical="center"/>
    </xf>
    <xf numFmtId="0" fontId="251" fillId="0" borderId="16" xfId="0" applyFont="1" applyBorder="1" applyAlignment="1">
      <alignment vertical="center"/>
    </xf>
    <xf numFmtId="0" fontId="239" fillId="0" borderId="4" xfId="0" applyFont="1" applyBorder="1" applyAlignment="1">
      <alignment horizontal="right" vertical="center"/>
    </xf>
    <xf numFmtId="0" fontId="246" fillId="0" borderId="5" xfId="0" applyFont="1" applyBorder="1" applyAlignment="1">
      <alignment horizontal="right" vertical="center"/>
    </xf>
    <xf numFmtId="0" fontId="259" fillId="0" borderId="16" xfId="0" applyFont="1" applyBorder="1" applyAlignment="1">
      <alignment vertical="center"/>
    </xf>
    <xf numFmtId="0" fontId="272" fillId="0" borderId="8" xfId="0" applyFont="1" applyBorder="1" applyAlignment="1">
      <alignment horizontal="center" vertical="center"/>
    </xf>
    <xf numFmtId="0" fontId="254" fillId="0" borderId="24" xfId="0" applyFont="1" applyBorder="1" applyAlignment="1">
      <alignment horizontal="left" vertical="center"/>
    </xf>
    <xf numFmtId="0" fontId="254" fillId="0" borderId="24" xfId="0" applyFont="1" applyBorder="1" applyAlignment="1">
      <alignment horizontal="center" vertical="center"/>
    </xf>
    <xf numFmtId="0" fontId="239" fillId="0" borderId="18" xfId="0" applyFont="1" applyBorder="1" applyAlignment="1">
      <alignment horizontal="right" vertical="center"/>
    </xf>
    <xf numFmtId="0" fontId="232" fillId="0" borderId="41" xfId="0" applyFont="1" applyBorder="1" applyAlignment="1">
      <alignment vertical="center"/>
    </xf>
    <xf numFmtId="0" fontId="230" fillId="0" borderId="20" xfId="0" applyFont="1" applyBorder="1" applyAlignment="1">
      <alignment horizontal="right" vertical="center"/>
    </xf>
    <xf numFmtId="189" fontId="232" fillId="0" borderId="20" xfId="0" applyNumberFormat="1" applyFont="1" applyBorder="1" applyAlignment="1">
      <alignment horizontal="center" vertical="center"/>
    </xf>
    <xf numFmtId="0" fontId="259" fillId="0" borderId="24" xfId="0" applyFont="1" applyBorder="1" applyAlignment="1">
      <alignment vertical="center"/>
    </xf>
    <xf numFmtId="0" fontId="232" fillId="0" borderId="22" xfId="0" applyFont="1" applyBorder="1" applyAlignment="1">
      <alignment vertical="center"/>
    </xf>
    <xf numFmtId="184" fontId="233" fillId="0" borderId="4" xfId="0" applyNumberFormat="1" applyFont="1" applyBorder="1" applyAlignment="1">
      <alignment horizontal="left" vertical="center"/>
    </xf>
    <xf numFmtId="0" fontId="266" fillId="0" borderId="45" xfId="0" applyFont="1" applyBorder="1"/>
    <xf numFmtId="0" fontId="266" fillId="0" borderId="94" xfId="0" applyFont="1" applyBorder="1"/>
    <xf numFmtId="0" fontId="392" fillId="0" borderId="0" xfId="0" applyFont="1" applyAlignment="1">
      <alignment vertical="center"/>
    </xf>
    <xf numFmtId="0" fontId="393" fillId="0" borderId="0" xfId="0" applyFont="1" applyAlignment="1">
      <alignment vertical="center"/>
    </xf>
    <xf numFmtId="0" fontId="230" fillId="0" borderId="7" xfId="0" applyFont="1" applyBorder="1" applyAlignment="1">
      <alignment horizontal="right" vertical="center"/>
    </xf>
    <xf numFmtId="0" fontId="230" fillId="0" borderId="9" xfId="0" applyFont="1" applyBorder="1" applyAlignment="1">
      <alignment horizontal="left" vertical="center"/>
    </xf>
    <xf numFmtId="190" fontId="230" fillId="0" borderId="22" xfId="0" applyNumberFormat="1" applyFont="1" applyBorder="1" applyAlignment="1">
      <alignment horizontal="left" vertical="center"/>
    </xf>
    <xf numFmtId="0" fontId="266" fillId="0" borderId="0" xfId="0" applyFont="1"/>
    <xf numFmtId="0" fontId="266" fillId="0" borderId="28" xfId="0" applyFont="1" applyBorder="1"/>
    <xf numFmtId="0" fontId="232" fillId="0" borderId="24" xfId="0" applyFont="1" applyBorder="1" applyAlignment="1">
      <alignment vertical="center"/>
    </xf>
    <xf numFmtId="0" fontId="230" fillId="0" borderId="26" xfId="0" applyFont="1" applyBorder="1" applyAlignment="1">
      <alignment horizontal="right" vertical="center"/>
    </xf>
    <xf numFmtId="0" fontId="232" fillId="0" borderId="26" xfId="0" applyFont="1" applyBorder="1" applyAlignment="1">
      <alignment horizontal="center" vertical="center"/>
    </xf>
    <xf numFmtId="0" fontId="247" fillId="0" borderId="27" xfId="0" applyFont="1" applyBorder="1" applyAlignment="1">
      <alignment vertical="center"/>
    </xf>
    <xf numFmtId="0" fontId="247" fillId="0" borderId="22" xfId="0" applyFont="1" applyBorder="1" applyAlignment="1">
      <alignment vertical="center"/>
    </xf>
    <xf numFmtId="0" fontId="266" fillId="0" borderId="0" xfId="0" applyFont="1" applyAlignment="1">
      <alignment vertical="center"/>
    </xf>
    <xf numFmtId="0" fontId="266" fillId="0" borderId="0" xfId="0" applyFont="1" applyAlignment="1">
      <alignment vertical="center" wrapText="1"/>
    </xf>
    <xf numFmtId="0" fontId="266" fillId="0" borderId="28" xfId="0" applyFont="1" applyBorder="1" applyAlignment="1">
      <alignment vertical="center" wrapText="1"/>
    </xf>
    <xf numFmtId="192" fontId="122" fillId="0" borderId="0" xfId="0" applyNumberFormat="1" applyFont="1" applyAlignment="1">
      <alignment horizontal="left" vertical="center"/>
    </xf>
    <xf numFmtId="0" fontId="230" fillId="0" borderId="2" xfId="0" applyFont="1" applyBorder="1" applyAlignment="1">
      <alignment horizontal="right" vertical="center"/>
    </xf>
    <xf numFmtId="0" fontId="247" fillId="0" borderId="4" xfId="0" applyFont="1" applyBorder="1" applyAlignment="1">
      <alignment vertical="center"/>
    </xf>
    <xf numFmtId="0" fontId="266" fillId="19" borderId="0" xfId="0" applyFont="1" applyFill="1" applyAlignment="1">
      <alignment horizontal="left" vertical="center"/>
    </xf>
    <xf numFmtId="2" fontId="230" fillId="0" borderId="7" xfId="0" applyNumberFormat="1" applyFont="1" applyBorder="1" applyAlignment="1">
      <alignment horizontal="center" vertical="center"/>
    </xf>
    <xf numFmtId="0" fontId="237" fillId="0" borderId="9" xfId="0" applyFont="1" applyBorder="1" applyAlignment="1">
      <alignment horizontal="left" vertical="center"/>
    </xf>
    <xf numFmtId="0" fontId="245" fillId="0" borderId="22" xfId="0" applyFont="1" applyBorder="1" applyAlignment="1">
      <alignment horizontal="center" vertical="center"/>
    </xf>
    <xf numFmtId="0" fontId="15" fillId="0" borderId="0" xfId="0" applyFont="1" applyAlignment="1">
      <alignment horizontal="left" vertical="center"/>
    </xf>
    <xf numFmtId="0" fontId="248" fillId="0" borderId="8" xfId="0" applyFont="1" applyBorder="1" applyAlignment="1">
      <alignment horizontal="left" vertical="center" textRotation="90"/>
    </xf>
    <xf numFmtId="0" fontId="232" fillId="0" borderId="15" xfId="0" applyFont="1" applyBorder="1" applyAlignment="1">
      <alignment horizontal="right" vertical="center"/>
    </xf>
    <xf numFmtId="170" fontId="232" fillId="0" borderId="20" xfId="0" applyNumberFormat="1" applyFont="1" applyBorder="1" applyAlignment="1">
      <alignment horizontal="center" vertical="center"/>
    </xf>
    <xf numFmtId="0" fontId="230" fillId="0" borderId="15" xfId="0" applyFont="1" applyBorder="1" applyAlignment="1">
      <alignment vertical="center"/>
    </xf>
    <xf numFmtId="0" fontId="247" fillId="0" borderId="37" xfId="0" applyFont="1" applyBorder="1" applyAlignment="1">
      <alignment vertical="center"/>
    </xf>
    <xf numFmtId="0" fontId="230" fillId="0" borderId="46" xfId="0" applyFont="1" applyBorder="1" applyAlignment="1">
      <alignment horizontal="right" vertical="center"/>
    </xf>
    <xf numFmtId="0" fontId="232" fillId="0" borderId="14" xfId="0" applyFont="1" applyBorder="1" applyAlignment="1">
      <alignment horizontal="right" vertical="center"/>
    </xf>
    <xf numFmtId="0" fontId="245" fillId="0" borderId="4" xfId="0" applyFont="1" applyBorder="1" applyAlignment="1">
      <alignment horizontal="center" vertical="center"/>
    </xf>
    <xf numFmtId="0" fontId="232" fillId="0" borderId="94" xfId="0" applyFont="1" applyBorder="1" applyAlignment="1">
      <alignment horizontal="right" vertical="center"/>
    </xf>
    <xf numFmtId="165" fontId="232" fillId="0" borderId="76" xfId="0" applyNumberFormat="1" applyFont="1" applyBorder="1" applyAlignment="1">
      <alignment horizontal="center" vertical="center"/>
    </xf>
    <xf numFmtId="165" fontId="232" fillId="0" borderId="0" xfId="0" applyNumberFormat="1"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vertical="center"/>
    </xf>
    <xf numFmtId="0" fontId="22" fillId="0" borderId="0" xfId="0" applyFont="1" applyAlignment="1">
      <alignment vertical="center"/>
    </xf>
    <xf numFmtId="0" fontId="123" fillId="0" borderId="0" xfId="0" applyFont="1" applyAlignment="1">
      <alignment vertical="center"/>
    </xf>
    <xf numFmtId="0" fontId="68" fillId="0" borderId="0" xfId="0" applyFont="1" applyAlignment="1">
      <alignment horizontal="right" vertical="center"/>
    </xf>
    <xf numFmtId="0" fontId="232" fillId="0" borderId="9" xfId="0" applyFont="1" applyBorder="1" applyAlignment="1">
      <alignment horizontal="right" vertical="center"/>
    </xf>
    <xf numFmtId="0" fontId="232" fillId="0" borderId="7" xfId="0" applyFont="1" applyBorder="1" applyAlignment="1">
      <alignment horizontal="center" vertical="center"/>
    </xf>
    <xf numFmtId="0" fontId="232" fillId="0" borderId="22" xfId="0" applyFont="1" applyBorder="1" applyAlignment="1">
      <alignment horizontal="right" vertical="center"/>
    </xf>
    <xf numFmtId="165" fontId="232" fillId="0" borderId="85" xfId="0" applyNumberFormat="1" applyFont="1" applyBorder="1" applyAlignment="1">
      <alignment horizontal="center" vertical="center"/>
    </xf>
    <xf numFmtId="0" fontId="122" fillId="0" borderId="0" xfId="0" applyFont="1" applyAlignment="1">
      <alignment horizontal="right" vertical="center"/>
    </xf>
    <xf numFmtId="0" fontId="226" fillId="0" borderId="29" xfId="0" applyFont="1" applyBorder="1" applyAlignment="1">
      <alignment vertical="center"/>
    </xf>
    <xf numFmtId="0" fontId="226" fillId="0" borderId="15" xfId="0" applyFont="1" applyBorder="1" applyAlignment="1">
      <alignment vertical="center"/>
    </xf>
    <xf numFmtId="0" fontId="226" fillId="0" borderId="37" xfId="0" applyFont="1" applyBorder="1" applyAlignment="1">
      <alignment vertical="center"/>
    </xf>
    <xf numFmtId="165" fontId="232" fillId="0" borderId="45" xfId="0" applyNumberFormat="1" applyFont="1" applyBorder="1" applyAlignment="1">
      <alignment horizontal="center" vertical="center"/>
    </xf>
    <xf numFmtId="0" fontId="248" fillId="0" borderId="129" xfId="0" applyFont="1" applyBorder="1" applyAlignment="1">
      <alignment horizontal="right"/>
    </xf>
    <xf numFmtId="192" fontId="330" fillId="0" borderId="45" xfId="0" applyNumberFormat="1" applyFont="1" applyBorder="1"/>
    <xf numFmtId="0" fontId="382" fillId="0" borderId="45" xfId="0" applyFont="1" applyBorder="1" applyAlignment="1">
      <alignment vertical="center"/>
    </xf>
    <xf numFmtId="0" fontId="383" fillId="0" borderId="45" xfId="0" applyFont="1" applyBorder="1" applyAlignment="1">
      <alignment vertical="center"/>
    </xf>
    <xf numFmtId="0" fontId="384" fillId="0" borderId="45" xfId="0" applyFont="1" applyBorder="1" applyAlignment="1">
      <alignment vertical="center"/>
    </xf>
    <xf numFmtId="192" fontId="330" fillId="0" borderId="94" xfId="0" applyNumberFormat="1" applyFont="1" applyBorder="1" applyAlignment="1">
      <alignment horizontal="center"/>
    </xf>
    <xf numFmtId="177" fontId="16" fillId="0" borderId="0" xfId="0" applyNumberFormat="1" applyFont="1" applyAlignment="1">
      <alignment vertical="center"/>
    </xf>
    <xf numFmtId="165" fontId="16" fillId="0" borderId="0" xfId="0" applyNumberFormat="1" applyFont="1" applyAlignment="1">
      <alignment vertical="center"/>
    </xf>
    <xf numFmtId="0" fontId="232" fillId="0" borderId="6" xfId="0" applyFont="1" applyBorder="1" applyAlignment="1">
      <alignment horizontal="center" vertical="center"/>
    </xf>
    <xf numFmtId="0" fontId="232" fillId="0" borderId="31" xfId="0" applyFont="1" applyBorder="1" applyAlignment="1">
      <alignment horizontal="right" vertical="center"/>
    </xf>
    <xf numFmtId="165" fontId="232" fillId="0" borderId="31" xfId="0" applyNumberFormat="1" applyFont="1" applyBorder="1" applyAlignment="1">
      <alignment horizontal="center" vertical="center"/>
    </xf>
    <xf numFmtId="0" fontId="259" fillId="0" borderId="4" xfId="0" applyFont="1" applyBorder="1" applyAlignment="1">
      <alignment vertical="center"/>
    </xf>
    <xf numFmtId="0" fontId="15" fillId="0" borderId="0" xfId="0" applyFont="1" applyAlignment="1">
      <alignment horizontal="right" vertical="center"/>
    </xf>
    <xf numFmtId="0" fontId="246" fillId="0" borderId="44" xfId="0" applyFont="1" applyBorder="1" applyAlignment="1">
      <alignment horizontal="left" vertical="top"/>
    </xf>
    <xf numFmtId="0" fontId="246" fillId="0" borderId="24" xfId="0" applyFont="1" applyBorder="1" applyAlignment="1">
      <alignment horizontal="center" vertical="top"/>
    </xf>
    <xf numFmtId="0" fontId="122" fillId="0" borderId="24" xfId="0" applyFont="1" applyBorder="1" applyAlignment="1">
      <alignment horizontal="right" vertical="center"/>
    </xf>
    <xf numFmtId="0" fontId="68" fillId="0" borderId="22" xfId="0" applyFont="1" applyBorder="1" applyAlignment="1">
      <alignment horizontal="right" vertical="center"/>
    </xf>
    <xf numFmtId="198" fontId="66" fillId="0" borderId="0" xfId="0" applyNumberFormat="1" applyFont="1" applyAlignment="1">
      <alignment vertical="center"/>
    </xf>
    <xf numFmtId="0" fontId="247" fillId="0" borderId="23" xfId="0" applyFont="1" applyBorder="1" applyAlignment="1">
      <alignment vertical="center"/>
    </xf>
    <xf numFmtId="165" fontId="232" fillId="0" borderId="6" xfId="0" applyNumberFormat="1" applyFont="1" applyBorder="1" applyAlignment="1">
      <alignment horizontal="center" vertical="center"/>
    </xf>
    <xf numFmtId="0" fontId="232" fillId="0" borderId="16" xfId="0" applyFont="1" applyBorder="1" applyAlignment="1">
      <alignment vertical="center"/>
    </xf>
    <xf numFmtId="0" fontId="259" fillId="0" borderId="18" xfId="0" applyFont="1" applyBorder="1" applyAlignment="1">
      <alignment vertical="center"/>
    </xf>
    <xf numFmtId="0" fontId="9" fillId="0" borderId="0" xfId="0" applyFont="1" applyAlignment="1">
      <alignment horizontal="center" vertical="center"/>
    </xf>
    <xf numFmtId="0" fontId="16" fillId="0" borderId="0" xfId="0" applyFont="1" applyAlignment="1">
      <alignment horizontal="left" vertical="center"/>
    </xf>
    <xf numFmtId="199" fontId="16" fillId="0" borderId="0" xfId="0" applyNumberFormat="1" applyFont="1" applyAlignment="1">
      <alignment vertical="center"/>
    </xf>
    <xf numFmtId="0" fontId="230" fillId="0" borderId="21" xfId="0" applyFont="1" applyBorder="1" applyAlignment="1">
      <alignment horizontal="right" vertical="center"/>
    </xf>
    <xf numFmtId="165" fontId="230" fillId="0" borderId="6" xfId="0" applyNumberFormat="1" applyFont="1" applyBorder="1" applyAlignment="1">
      <alignment horizontal="center" vertical="center"/>
    </xf>
    <xf numFmtId="0" fontId="230" fillId="0" borderId="21" xfId="0" applyFont="1" applyBorder="1" applyAlignment="1">
      <alignment vertical="center"/>
    </xf>
    <xf numFmtId="0" fontId="254" fillId="0" borderId="0" xfId="0" applyFont="1" applyAlignment="1">
      <alignment horizontal="center" vertical="center"/>
    </xf>
    <xf numFmtId="0" fontId="232" fillId="0" borderId="26" xfId="0" applyFont="1" applyBorder="1" applyAlignment="1">
      <alignment horizontal="right" vertical="center"/>
    </xf>
    <xf numFmtId="0" fontId="269" fillId="0" borderId="22" xfId="0" applyFont="1" applyBorder="1" applyAlignment="1">
      <alignment vertical="center" wrapText="1"/>
    </xf>
    <xf numFmtId="0" fontId="400" fillId="0" borderId="0" xfId="0" applyFont="1" applyAlignment="1">
      <alignment vertical="center"/>
    </xf>
    <xf numFmtId="0" fontId="248" fillId="0" borderId="0" xfId="0" applyFont="1" applyAlignment="1">
      <alignment horizontal="left" vertical="center"/>
    </xf>
    <xf numFmtId="0" fontId="401" fillId="0" borderId="0" xfId="0" applyFont="1" applyAlignment="1">
      <alignment vertical="center"/>
    </xf>
    <xf numFmtId="0" fontId="230" fillId="0" borderId="10" xfId="0" applyFont="1" applyBorder="1" applyAlignment="1">
      <alignment horizontal="right" vertical="center"/>
    </xf>
    <xf numFmtId="165" fontId="230" fillId="0" borderId="5" xfId="0" applyNumberFormat="1" applyFont="1" applyBorder="1" applyAlignment="1">
      <alignment horizontal="center" vertical="center"/>
    </xf>
    <xf numFmtId="0" fontId="239" fillId="0" borderId="10" xfId="0" applyFont="1" applyBorder="1" applyAlignment="1">
      <alignment horizontal="left" vertical="center"/>
    </xf>
    <xf numFmtId="0" fontId="247" fillId="0" borderId="13" xfId="0" applyFont="1" applyBorder="1" applyAlignment="1">
      <alignment vertical="center"/>
    </xf>
    <xf numFmtId="0" fontId="402" fillId="0" borderId="0" xfId="0" applyFont="1" applyAlignment="1">
      <alignment vertical="center"/>
    </xf>
    <xf numFmtId="0" fontId="403" fillId="0" borderId="0" xfId="0" applyFont="1" applyAlignment="1">
      <alignment vertical="center"/>
    </xf>
    <xf numFmtId="0" fontId="230" fillId="0" borderId="9" xfId="0" applyFont="1" applyBorder="1" applyAlignment="1">
      <alignment vertical="center"/>
    </xf>
    <xf numFmtId="165" fontId="235" fillId="0" borderId="8" xfId="0" applyNumberFormat="1" applyFont="1" applyBorder="1" applyAlignment="1">
      <alignment horizontal="center" vertical="center"/>
    </xf>
    <xf numFmtId="0" fontId="379" fillId="0" borderId="0" xfId="0" applyFont="1" applyAlignment="1">
      <alignment vertical="center"/>
    </xf>
    <xf numFmtId="0" fontId="232" fillId="0" borderId="43" xfId="0" applyFont="1" applyBorder="1" applyAlignment="1">
      <alignment horizontal="center" vertical="center" wrapText="1"/>
    </xf>
    <xf numFmtId="0" fontId="38" fillId="26" borderId="0" xfId="0" applyFont="1" applyFill="1" applyAlignment="1">
      <alignment vertical="center"/>
    </xf>
    <xf numFmtId="0" fontId="349" fillId="26" borderId="0" xfId="0" applyFont="1" applyFill="1" applyAlignment="1">
      <alignment horizontal="right" vertical="center"/>
    </xf>
    <xf numFmtId="0" fontId="21" fillId="0" borderId="0" xfId="0" applyFont="1" applyAlignment="1">
      <alignment vertical="center"/>
    </xf>
    <xf numFmtId="0" fontId="321" fillId="5" borderId="74" xfId="0" applyFont="1" applyFill="1" applyBorder="1" applyAlignment="1">
      <alignment horizontal="center" vertical="center" wrapText="1"/>
    </xf>
    <xf numFmtId="0" fontId="230" fillId="5" borderId="11" xfId="0" applyFont="1" applyFill="1" applyBorder="1" applyAlignment="1">
      <alignment horizontal="center" vertical="center" wrapText="1"/>
    </xf>
    <xf numFmtId="0" fontId="230" fillId="5" borderId="23" xfId="0" applyFont="1" applyFill="1" applyBorder="1" applyAlignment="1">
      <alignment horizontal="center" vertical="center" wrapText="1"/>
    </xf>
    <xf numFmtId="0" fontId="230" fillId="5" borderId="7" xfId="0" applyFont="1" applyFill="1" applyBorder="1" applyAlignment="1">
      <alignment horizontal="center" vertical="center" wrapText="1"/>
    </xf>
    <xf numFmtId="0" fontId="230" fillId="5" borderId="96" xfId="0" applyFont="1" applyFill="1" applyBorder="1" applyAlignment="1">
      <alignment horizontal="center" vertical="center"/>
    </xf>
    <xf numFmtId="0" fontId="230" fillId="5" borderId="89" xfId="0" applyFont="1" applyFill="1" applyBorder="1" applyAlignment="1">
      <alignment horizontal="center" vertical="center"/>
    </xf>
    <xf numFmtId="0" fontId="230" fillId="0" borderId="44" xfId="0" applyFont="1" applyBorder="1" applyAlignment="1">
      <alignment horizontal="center" vertical="center"/>
    </xf>
    <xf numFmtId="0" fontId="6" fillId="0" borderId="0" xfId="0" applyFont="1"/>
    <xf numFmtId="0" fontId="150" fillId="0" borderId="0" xfId="0" applyFont="1" applyAlignment="1">
      <alignment vertical="center"/>
    </xf>
    <xf numFmtId="0" fontId="232" fillId="0" borderId="111" xfId="0" applyFont="1" applyBorder="1" applyAlignment="1">
      <alignment horizontal="center" vertical="center"/>
    </xf>
    <xf numFmtId="0" fontId="230" fillId="0" borderId="3" xfId="0" applyFont="1" applyBorder="1" applyAlignment="1">
      <alignment horizontal="left" vertical="center"/>
    </xf>
    <xf numFmtId="0" fontId="230" fillId="0" borderId="4" xfId="0" applyFont="1" applyBorder="1" applyAlignment="1">
      <alignment horizontal="right" vertical="center"/>
    </xf>
    <xf numFmtId="0" fontId="230" fillId="0" borderId="111" xfId="0" applyFont="1" applyBorder="1" applyAlignment="1">
      <alignment horizontal="center" vertical="center"/>
    </xf>
    <xf numFmtId="0" fontId="230" fillId="0" borderId="30" xfId="0" applyFont="1" applyBorder="1" applyAlignment="1">
      <alignment horizontal="center" vertical="center"/>
    </xf>
    <xf numFmtId="0" fontId="230" fillId="0" borderId="73" xfId="0" applyFont="1" applyBorder="1" applyAlignment="1">
      <alignment horizontal="center" vertical="center" wrapText="1"/>
    </xf>
    <xf numFmtId="165" fontId="230" fillId="0" borderId="30" xfId="0" applyNumberFormat="1" applyFont="1" applyBorder="1" applyAlignment="1">
      <alignment horizontal="center" vertical="center"/>
    </xf>
    <xf numFmtId="165" fontId="230" fillId="0" borderId="127" xfId="0" applyNumberFormat="1" applyFont="1" applyBorder="1" applyAlignment="1">
      <alignment horizontal="center" vertical="center" wrapText="1"/>
    </xf>
    <xf numFmtId="2" fontId="232" fillId="0" borderId="76" xfId="0" applyNumberFormat="1" applyFont="1" applyBorder="1" applyAlignment="1">
      <alignment horizontal="center" vertical="center"/>
    </xf>
    <xf numFmtId="2" fontId="232" fillId="0" borderId="40" xfId="0" applyNumberFormat="1" applyFont="1" applyBorder="1" applyAlignment="1">
      <alignment horizontal="center" vertical="center"/>
    </xf>
    <xf numFmtId="0" fontId="232" fillId="0" borderId="73" xfId="0" applyFont="1" applyBorder="1" applyAlignment="1">
      <alignment horizontal="center" vertical="center"/>
    </xf>
    <xf numFmtId="0" fontId="230" fillId="0" borderId="5" xfId="0" applyFont="1" applyBorder="1" applyAlignment="1">
      <alignment horizontal="left" vertical="center"/>
    </xf>
    <xf numFmtId="0" fontId="230" fillId="0" borderId="13" xfId="0" applyFont="1" applyBorder="1" applyAlignment="1">
      <alignment horizontal="right" vertical="center"/>
    </xf>
    <xf numFmtId="0" fontId="230" fillId="0" borderId="73" xfId="0" applyFont="1" applyBorder="1" applyAlignment="1">
      <alignment horizontal="center" vertical="center"/>
    </xf>
    <xf numFmtId="2" fontId="230" fillId="0" borderId="1" xfId="0" applyNumberFormat="1" applyFont="1" applyBorder="1" applyAlignment="1">
      <alignment horizontal="center" vertical="center"/>
    </xf>
    <xf numFmtId="2" fontId="232" fillId="0" borderId="77" xfId="0" applyNumberFormat="1" applyFont="1" applyBorder="1" applyAlignment="1">
      <alignment horizontal="center" vertical="center"/>
    </xf>
    <xf numFmtId="2" fontId="232" fillId="0" borderId="54" xfId="0" applyNumberFormat="1" applyFont="1" applyBorder="1" applyAlignment="1">
      <alignment horizontal="center" vertical="center"/>
    </xf>
    <xf numFmtId="0" fontId="232" fillId="0" borderId="74" xfId="0" applyFont="1" applyBorder="1" applyAlignment="1">
      <alignment horizontal="center" vertical="center"/>
    </xf>
    <xf numFmtId="0" fontId="230" fillId="0" borderId="8" xfId="0" applyFont="1" applyBorder="1" applyAlignment="1">
      <alignment horizontal="left" vertical="center"/>
    </xf>
    <xf numFmtId="0" fontId="230" fillId="0" borderId="23" xfId="0" applyFont="1" applyBorder="1" applyAlignment="1">
      <alignment horizontal="right" vertical="center"/>
    </xf>
    <xf numFmtId="0" fontId="230" fillId="0" borderId="74" xfId="0" applyFont="1" applyBorder="1" applyAlignment="1">
      <alignment horizontal="center" vertical="center"/>
    </xf>
    <xf numFmtId="0" fontId="230" fillId="0" borderId="96" xfId="0" applyFont="1" applyBorder="1" applyAlignment="1">
      <alignment horizontal="center" vertical="center"/>
    </xf>
    <xf numFmtId="0" fontId="230" fillId="0" borderId="23" xfId="0" applyFont="1" applyBorder="1" applyAlignment="1">
      <alignment horizontal="center" vertical="center" wrapText="1"/>
    </xf>
    <xf numFmtId="2" fontId="232" fillId="0" borderId="97" xfId="0" applyNumberFormat="1" applyFont="1" applyBorder="1" applyAlignment="1">
      <alignment horizontal="center" vertical="center"/>
    </xf>
    <xf numFmtId="0" fontId="149" fillId="0" borderId="0" xfId="0" applyFont="1" applyAlignment="1">
      <alignment vertical="center"/>
    </xf>
    <xf numFmtId="0" fontId="66" fillId="0" borderId="45" xfId="0" applyFont="1" applyBorder="1"/>
    <xf numFmtId="0" fontId="122" fillId="0" borderId="45" xfId="0" quotePrefix="1" applyFont="1" applyBorder="1" applyAlignment="1">
      <alignment horizontal="left"/>
    </xf>
    <xf numFmtId="0" fontId="122" fillId="0" borderId="45" xfId="0" quotePrefix="1" applyFont="1" applyBorder="1" applyAlignment="1">
      <alignment horizontal="right"/>
    </xf>
    <xf numFmtId="0" fontId="230" fillId="0" borderId="45" xfId="0" applyFont="1" applyBorder="1" applyAlignment="1">
      <alignment horizontal="center" vertical="center" wrapText="1"/>
    </xf>
    <xf numFmtId="2" fontId="230" fillId="0" borderId="138" xfId="0" applyNumberFormat="1" applyFont="1" applyBorder="1" applyAlignment="1">
      <alignment horizontal="center" vertical="center"/>
    </xf>
    <xf numFmtId="0" fontId="230" fillId="0" borderId="95" xfId="0" applyFont="1" applyBorder="1" applyAlignment="1">
      <alignment horizontal="center" vertical="center"/>
    </xf>
    <xf numFmtId="0" fontId="232" fillId="0" borderId="40" xfId="0" applyFont="1" applyBorder="1" applyAlignment="1">
      <alignment horizontal="center" vertical="center" wrapText="1"/>
    </xf>
    <xf numFmtId="0" fontId="226" fillId="0" borderId="19" xfId="0" applyFont="1" applyBorder="1" applyAlignment="1">
      <alignment vertical="center"/>
    </xf>
    <xf numFmtId="165" fontId="230" fillId="0" borderId="3" xfId="0" applyNumberFormat="1" applyFont="1" applyBorder="1" applyAlignment="1">
      <alignment horizontal="center" vertical="center"/>
    </xf>
    <xf numFmtId="165" fontId="230" fillId="0" borderId="76" xfId="0" applyNumberFormat="1" applyFont="1" applyBorder="1" applyAlignment="1">
      <alignment horizontal="center" vertical="center"/>
    </xf>
    <xf numFmtId="0" fontId="122" fillId="0" borderId="0" xfId="0" quotePrefix="1" applyFont="1" applyAlignment="1">
      <alignment horizontal="left" vertical="top"/>
    </xf>
    <xf numFmtId="0" fontId="230" fillId="0" borderId="0" xfId="0" applyFont="1" applyAlignment="1">
      <alignment vertical="center"/>
    </xf>
    <xf numFmtId="0" fontId="246" fillId="0" borderId="0" xfId="0" applyFont="1" applyAlignment="1">
      <alignment horizontal="center" vertical="center"/>
    </xf>
    <xf numFmtId="0" fontId="246" fillId="0" borderId="24" xfId="0" applyFont="1" applyBorder="1" applyAlignment="1">
      <alignment horizontal="center" vertical="center" wrapText="1"/>
    </xf>
    <xf numFmtId="165" fontId="246" fillId="0" borderId="113" xfId="0" applyNumberFormat="1" applyFont="1" applyBorder="1" applyAlignment="1">
      <alignment horizontal="center" vertical="center"/>
    </xf>
    <xf numFmtId="0" fontId="66" fillId="0" borderId="25" xfId="0" applyFont="1" applyBorder="1" applyAlignment="1">
      <alignment vertical="center"/>
    </xf>
    <xf numFmtId="186" fontId="246" fillId="0" borderId="22" xfId="0" applyNumberFormat="1" applyFont="1" applyBorder="1" applyAlignment="1">
      <alignment horizontal="center" vertical="center"/>
    </xf>
    <xf numFmtId="165" fontId="246" fillId="0" borderId="85" xfId="0" applyNumberFormat="1" applyFont="1" applyBorder="1" applyAlignment="1">
      <alignment horizontal="center" vertical="center"/>
    </xf>
    <xf numFmtId="165" fontId="246" fillId="0" borderId="44" xfId="0" applyNumberFormat="1" applyFont="1" applyBorder="1" applyAlignment="1">
      <alignment horizontal="center" vertical="center"/>
    </xf>
    <xf numFmtId="0" fontId="96" fillId="0" borderId="0" xfId="0" applyFont="1" applyAlignment="1">
      <alignment vertical="center"/>
    </xf>
    <xf numFmtId="0" fontId="232" fillId="0" borderId="45" xfId="0" applyFont="1" applyBorder="1" applyAlignment="1">
      <alignment horizontal="left"/>
    </xf>
    <xf numFmtId="2" fontId="3" fillId="0" borderId="0" xfId="0" applyNumberFormat="1" applyFont="1" applyAlignment="1">
      <alignment horizontal="center" vertical="center"/>
    </xf>
    <xf numFmtId="0" fontId="153" fillId="0" borderId="0" xfId="0" applyFont="1" applyAlignment="1">
      <alignment horizontal="center" vertical="center"/>
    </xf>
    <xf numFmtId="0" fontId="232" fillId="0" borderId="0" xfId="0" applyFont="1" applyAlignment="1">
      <alignment horizontal="left" vertical="top"/>
    </xf>
    <xf numFmtId="0" fontId="0" fillId="0" borderId="0" xfId="0" applyAlignment="1">
      <alignment horizontal="left" vertical="center"/>
    </xf>
    <xf numFmtId="0" fontId="28" fillId="0" borderId="0" xfId="0" applyFont="1" applyAlignment="1">
      <alignment horizontal="left"/>
    </xf>
    <xf numFmtId="0" fontId="1" fillId="0" borderId="0" xfId="0" applyFont="1" applyAlignment="1">
      <alignment horizontal="right" textRotation="90" wrapText="1"/>
    </xf>
    <xf numFmtId="0" fontId="22" fillId="0" borderId="0" xfId="0" applyFont="1" applyAlignment="1">
      <alignment horizontal="right" vertical="center"/>
    </xf>
    <xf numFmtId="0" fontId="28" fillId="0" borderId="0" xfId="0" applyFont="1" applyAlignment="1">
      <alignment horizontal="left" vertical="top"/>
    </xf>
    <xf numFmtId="191" fontId="45" fillId="0" borderId="0" xfId="0" applyNumberFormat="1" applyFont="1" applyAlignment="1">
      <alignment vertical="top"/>
    </xf>
    <xf numFmtId="0" fontId="1" fillId="0" borderId="0" xfId="0" applyFont="1" applyAlignment="1">
      <alignment vertical="top"/>
    </xf>
    <xf numFmtId="0" fontId="140" fillId="0" borderId="0" xfId="0" applyFont="1" applyAlignment="1">
      <alignment horizontal="left" vertical="center"/>
    </xf>
    <xf numFmtId="0" fontId="2" fillId="0" borderId="0" xfId="0" applyFont="1" applyAlignment="1">
      <alignment horizontal="right"/>
    </xf>
    <xf numFmtId="0" fontId="11" fillId="0" borderId="0" xfId="0" applyFont="1" applyAlignment="1">
      <alignment horizontal="left"/>
    </xf>
    <xf numFmtId="0" fontId="2" fillId="0" borderId="0" xfId="0" applyFont="1" applyAlignment="1">
      <alignment horizontal="right" vertical="center"/>
    </xf>
    <xf numFmtId="0" fontId="28" fillId="0" borderId="0" xfId="0" applyFont="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8" fillId="0" borderId="0" xfId="0" applyFont="1" applyAlignment="1">
      <alignment horizontal="center" vertical="center" wrapText="1"/>
    </xf>
    <xf numFmtId="0" fontId="3" fillId="0" borderId="0" xfId="0" applyFont="1" applyAlignment="1">
      <alignment textRotation="90"/>
    </xf>
    <xf numFmtId="0" fontId="13" fillId="0" borderId="0" xfId="0" applyFont="1" applyAlignment="1">
      <alignment horizontal="right" vertical="center"/>
    </xf>
    <xf numFmtId="0" fontId="4" fillId="0" borderId="0" xfId="0" applyFont="1" applyAlignment="1">
      <alignment horizontal="left" vertical="center"/>
    </xf>
    <xf numFmtId="170" fontId="390" fillId="20" borderId="8" xfId="0" applyNumberFormat="1" applyFont="1" applyFill="1" applyBorder="1" applyAlignment="1" applyProtection="1">
      <alignment horizontal="center" vertical="center"/>
      <protection locked="0"/>
    </xf>
    <xf numFmtId="0" fontId="248" fillId="26" borderId="8" xfId="0" applyFont="1" applyFill="1" applyBorder="1" applyAlignment="1" applyProtection="1">
      <alignment horizontal="left" vertical="center"/>
      <protection locked="0"/>
    </xf>
    <xf numFmtId="0" fontId="392" fillId="20" borderId="8" xfId="0" applyFont="1" applyFill="1" applyBorder="1" applyAlignment="1" applyProtection="1">
      <alignment vertical="center"/>
      <protection locked="0"/>
    </xf>
    <xf numFmtId="0" fontId="392" fillId="20" borderId="23" xfId="0" applyFont="1" applyFill="1" applyBorder="1" applyAlignment="1" applyProtection="1">
      <alignment vertical="center"/>
      <protection locked="0"/>
    </xf>
    <xf numFmtId="0" fontId="395" fillId="0" borderId="185" xfId="0" applyFont="1" applyBorder="1" applyAlignment="1">
      <alignment horizontal="center" vertical="center"/>
    </xf>
    <xf numFmtId="0" fontId="363" fillId="0" borderId="0" xfId="0" applyFont="1" applyAlignment="1">
      <alignment horizontal="left"/>
    </xf>
    <xf numFmtId="0" fontId="74" fillId="0" borderId="1" xfId="0" applyFont="1" applyBorder="1" applyAlignment="1">
      <alignment horizontal="center" vertical="center" wrapText="1"/>
    </xf>
    <xf numFmtId="0" fontId="371" fillId="0" borderId="0" xfId="1" applyFont="1" applyFill="1" applyAlignment="1" applyProtection="1">
      <alignment horizontal="left" vertical="center"/>
    </xf>
    <xf numFmtId="0" fontId="239" fillId="0" borderId="13" xfId="0" applyFont="1" applyBorder="1" applyAlignment="1">
      <alignment vertical="center"/>
    </xf>
    <xf numFmtId="0" fontId="348" fillId="22" borderId="77" xfId="0" applyFont="1" applyFill="1" applyBorder="1" applyAlignment="1">
      <alignment horizontal="center" vertical="center" wrapText="1"/>
    </xf>
    <xf numFmtId="0" fontId="404" fillId="32" borderId="51" xfId="0" applyFont="1" applyFill="1" applyBorder="1" applyAlignment="1">
      <alignment vertical="center"/>
    </xf>
    <xf numFmtId="49" fontId="185" fillId="9" borderId="31" xfId="0" applyNumberFormat="1" applyFont="1" applyFill="1" applyBorder="1" applyAlignment="1">
      <alignment horizontal="center" vertical="center"/>
    </xf>
    <xf numFmtId="0" fontId="406" fillId="0" borderId="40" xfId="0" applyFont="1" applyBorder="1" applyAlignment="1">
      <alignment horizontal="left" vertical="center"/>
    </xf>
    <xf numFmtId="0" fontId="185" fillId="32" borderId="0" xfId="0" applyFont="1" applyFill="1" applyAlignment="1">
      <alignment horizontal="center"/>
    </xf>
    <xf numFmtId="0" fontId="407" fillId="32" borderId="28" xfId="0" applyFont="1" applyFill="1" applyBorder="1"/>
    <xf numFmtId="0" fontId="142" fillId="32" borderId="28" xfId="0" applyFont="1" applyFill="1" applyBorder="1" applyAlignment="1">
      <alignment horizontal="right" vertical="top"/>
    </xf>
    <xf numFmtId="0" fontId="185" fillId="32" borderId="0" xfId="0" applyFont="1" applyFill="1" applyAlignment="1">
      <alignment horizontal="right" vertical="center"/>
    </xf>
    <xf numFmtId="0" fontId="84" fillId="32" borderId="0" xfId="0" applyFont="1" applyFill="1" applyAlignment="1">
      <alignment vertical="center"/>
    </xf>
    <xf numFmtId="170" fontId="12" fillId="20" borderId="0" xfId="0" applyNumberFormat="1" applyFont="1" applyFill="1" applyAlignment="1" applyProtection="1">
      <alignment horizontal="center"/>
      <protection locked="0"/>
    </xf>
    <xf numFmtId="0" fontId="349" fillId="0" borderId="0" xfId="0" applyFont="1" applyAlignment="1">
      <alignment horizontal="right" vertical="center"/>
    </xf>
    <xf numFmtId="0" fontId="11" fillId="0" borderId="43" xfId="0" applyFont="1" applyBorder="1" applyAlignment="1">
      <alignment horizontal="left"/>
    </xf>
    <xf numFmtId="0" fontId="11" fillId="0" borderId="40" xfId="0" applyFont="1" applyBorder="1" applyAlignment="1">
      <alignment horizontal="left"/>
    </xf>
    <xf numFmtId="0" fontId="3" fillId="0" borderId="4" xfId="0" applyFont="1" applyBorder="1" applyAlignment="1">
      <alignment horizontal="center"/>
    </xf>
    <xf numFmtId="0" fontId="0" fillId="0" borderId="22" xfId="0" applyBorder="1" applyAlignment="1">
      <alignment horizontal="right"/>
    </xf>
    <xf numFmtId="0" fontId="309" fillId="36" borderId="0" xfId="0" applyFont="1" applyFill="1" applyAlignment="1">
      <alignment vertical="center"/>
    </xf>
    <xf numFmtId="0" fontId="66" fillId="0" borderId="14" xfId="0" applyFont="1" applyBorder="1" applyAlignment="1">
      <alignment vertical="center"/>
    </xf>
    <xf numFmtId="0" fontId="178" fillId="0" borderId="16" xfId="0" applyFont="1" applyBorder="1"/>
    <xf numFmtId="0" fontId="66" fillId="0" borderId="17" xfId="0" applyFont="1" applyBorder="1" applyAlignment="1">
      <alignment vertical="center"/>
    </xf>
    <xf numFmtId="0" fontId="1" fillId="0" borderId="24" xfId="0" applyFont="1" applyBorder="1" applyAlignment="1">
      <alignment vertical="center"/>
    </xf>
    <xf numFmtId="189" fontId="97" fillId="0" borderId="51" xfId="0" applyNumberFormat="1" applyFont="1" applyBorder="1" applyAlignment="1">
      <alignment horizontal="left" vertical="center"/>
    </xf>
    <xf numFmtId="0" fontId="408" fillId="0" borderId="0" xfId="0" applyFont="1"/>
    <xf numFmtId="0" fontId="410" fillId="0" borderId="0" xfId="0" applyFont="1" applyAlignment="1">
      <alignment horizontal="left" indent="2"/>
    </xf>
    <xf numFmtId="0" fontId="230" fillId="0" borderId="12" xfId="0" applyFont="1" applyBorder="1" applyAlignment="1">
      <alignment vertical="center"/>
    </xf>
    <xf numFmtId="0" fontId="233" fillId="0" borderId="46" xfId="0" applyFont="1" applyBorder="1" applyAlignment="1">
      <alignment horizontal="right" vertical="center"/>
    </xf>
    <xf numFmtId="0" fontId="239" fillId="0" borderId="95" xfId="0" applyFont="1" applyBorder="1" applyAlignment="1">
      <alignment horizontal="left" vertical="center"/>
    </xf>
    <xf numFmtId="0" fontId="239" fillId="0" borderId="132" xfId="0" applyFont="1" applyBorder="1" applyAlignment="1">
      <alignment horizontal="left" vertical="center"/>
    </xf>
    <xf numFmtId="0" fontId="252" fillId="0" borderId="0" xfId="0" applyFont="1" applyAlignment="1">
      <alignment vertical="center"/>
    </xf>
    <xf numFmtId="171" fontId="98" fillId="22" borderId="144" xfId="0" applyNumberFormat="1" applyFont="1" applyFill="1" applyBorder="1" applyAlignment="1">
      <alignment horizontal="center" vertical="center"/>
    </xf>
    <xf numFmtId="0" fontId="415" fillId="0" borderId="0" xfId="1" applyFont="1" applyFill="1" applyAlignment="1" applyProtection="1">
      <alignment vertical="center"/>
    </xf>
    <xf numFmtId="0" fontId="244" fillId="0" borderId="51" xfId="0" applyFont="1" applyBorder="1" applyAlignment="1">
      <alignment horizontal="center" vertical="center"/>
    </xf>
    <xf numFmtId="0" fontId="244" fillId="0" borderId="0" xfId="0" applyFont="1" applyAlignment="1">
      <alignment horizontal="center" vertical="center"/>
    </xf>
    <xf numFmtId="0" fontId="244" fillId="0" borderId="44" xfId="0" applyFont="1" applyBorder="1" applyAlignment="1">
      <alignment horizontal="center" vertical="center"/>
    </xf>
    <xf numFmtId="165" fontId="230" fillId="22" borderId="31" xfId="0" applyNumberFormat="1" applyFont="1" applyFill="1" applyBorder="1" applyAlignment="1">
      <alignment horizontal="center" vertical="center"/>
    </xf>
    <xf numFmtId="0" fontId="230" fillId="22" borderId="31" xfId="0" applyFont="1" applyFill="1" applyBorder="1" applyAlignment="1">
      <alignment horizontal="center" vertical="center"/>
    </xf>
    <xf numFmtId="1" fontId="230" fillId="22" borderId="26" xfId="0" applyNumberFormat="1" applyFont="1" applyFill="1" applyBorder="1" applyAlignment="1">
      <alignment horizontal="center" vertical="center"/>
    </xf>
    <xf numFmtId="0" fontId="230" fillId="22" borderId="2" xfId="0" applyFont="1" applyFill="1" applyBorder="1" applyAlignment="1">
      <alignment horizontal="center" vertical="center"/>
    </xf>
    <xf numFmtId="0" fontId="230" fillId="22" borderId="7" xfId="0" applyFont="1" applyFill="1" applyBorder="1" applyAlignment="1">
      <alignment horizontal="center" vertical="center"/>
    </xf>
    <xf numFmtId="0" fontId="230" fillId="22" borderId="1" xfId="0" applyFont="1" applyFill="1" applyBorder="1" applyAlignment="1">
      <alignment horizontal="center" vertical="center"/>
    </xf>
    <xf numFmtId="0" fontId="235" fillId="22" borderId="7" xfId="0" applyFont="1" applyFill="1" applyBorder="1" applyAlignment="1">
      <alignment horizontal="center" vertical="center"/>
    </xf>
    <xf numFmtId="0" fontId="230" fillId="22" borderId="2" xfId="0" applyFont="1" applyFill="1" applyBorder="1" applyAlignment="1">
      <alignment vertical="center"/>
    </xf>
    <xf numFmtId="0" fontId="230" fillId="22" borderId="1" xfId="0" applyFont="1" applyFill="1" applyBorder="1" applyAlignment="1">
      <alignment vertical="center"/>
    </xf>
    <xf numFmtId="0" fontId="235" fillId="22" borderId="26" xfId="0" applyFont="1" applyFill="1" applyBorder="1" applyAlignment="1">
      <alignment horizontal="center" vertical="center"/>
    </xf>
    <xf numFmtId="0" fontId="230" fillId="22" borderId="19" xfId="0" applyFont="1" applyFill="1" applyBorder="1" applyAlignment="1">
      <alignment horizontal="center" vertical="center"/>
    </xf>
    <xf numFmtId="0" fontId="230" fillId="22" borderId="26" xfId="0" applyFont="1" applyFill="1" applyBorder="1" applyAlignment="1">
      <alignment vertical="center"/>
    </xf>
    <xf numFmtId="165" fontId="230" fillId="22" borderId="46" xfId="0" applyNumberFormat="1" applyFont="1" applyFill="1" applyBorder="1" applyAlignment="1">
      <alignment horizontal="center" vertical="center"/>
    </xf>
    <xf numFmtId="177" fontId="230" fillId="22" borderId="20" xfId="0" applyNumberFormat="1" applyFont="1" applyFill="1" applyBorder="1" applyAlignment="1">
      <alignment horizontal="center" vertical="center"/>
    </xf>
    <xf numFmtId="0" fontId="259" fillId="0" borderId="19" xfId="0" applyFont="1" applyBorder="1" applyAlignment="1">
      <alignment horizontal="right" vertical="center"/>
    </xf>
    <xf numFmtId="0" fontId="235" fillId="0" borderId="31" xfId="0" applyFont="1" applyBorder="1" applyAlignment="1">
      <alignment horizontal="center" vertical="center"/>
    </xf>
    <xf numFmtId="0" fontId="133" fillId="0" borderId="0" xfId="0" applyFont="1" applyAlignment="1">
      <alignment horizontal="left" vertical="center" wrapText="1"/>
    </xf>
    <xf numFmtId="0" fontId="9" fillId="0" borderId="87" xfId="0" applyFont="1" applyBorder="1" applyAlignment="1">
      <alignment horizontal="center" vertical="center"/>
    </xf>
    <xf numFmtId="0" fontId="9" fillId="0" borderId="121" xfId="0" applyFont="1" applyBorder="1" applyAlignment="1">
      <alignment horizontal="center" vertical="center"/>
    </xf>
    <xf numFmtId="0" fontId="9" fillId="0" borderId="127" xfId="0" applyFont="1" applyBorder="1" applyAlignment="1">
      <alignment horizontal="center" vertical="center"/>
    </xf>
    <xf numFmtId="0" fontId="14" fillId="3" borderId="146" xfId="0" applyFont="1" applyFill="1" applyBorder="1" applyAlignment="1">
      <alignment horizontal="center" vertical="center" wrapText="1"/>
    </xf>
    <xf numFmtId="0" fontId="14" fillId="3" borderId="148" xfId="0" applyFont="1" applyFill="1" applyBorder="1" applyAlignment="1">
      <alignment horizontal="center" vertical="center" wrapText="1"/>
    </xf>
    <xf numFmtId="0" fontId="118" fillId="6" borderId="42" xfId="0" applyFont="1" applyFill="1" applyBorder="1" applyAlignment="1">
      <alignment horizontal="center" vertical="center" wrapText="1"/>
    </xf>
    <xf numFmtId="0" fontId="118" fillId="6" borderId="11" xfId="0" applyFont="1" applyFill="1" applyBorder="1" applyAlignment="1">
      <alignment horizontal="center" vertical="center" wrapText="1"/>
    </xf>
    <xf numFmtId="171" fontId="68" fillId="26" borderId="40" xfId="0" applyNumberFormat="1" applyFont="1" applyFill="1" applyBorder="1" applyAlignment="1" applyProtection="1">
      <alignment horizontal="center" vertical="center" wrapText="1"/>
      <protection locked="0"/>
    </xf>
    <xf numFmtId="171" fontId="68" fillId="26" borderId="19" xfId="0" applyNumberFormat="1" applyFont="1" applyFill="1" applyBorder="1" applyAlignment="1" applyProtection="1">
      <alignment horizontal="center" vertical="center" wrapText="1"/>
      <protection locked="0"/>
    </xf>
    <xf numFmtId="171" fontId="68" fillId="26" borderId="54" xfId="0" applyNumberFormat="1" applyFont="1" applyFill="1" applyBorder="1" applyAlignment="1" applyProtection="1">
      <alignment horizontal="center" vertical="center"/>
      <protection locked="0"/>
    </xf>
    <xf numFmtId="171" fontId="68" fillId="26" borderId="12" xfId="0" applyNumberFormat="1" applyFont="1" applyFill="1" applyBorder="1" applyAlignment="1" applyProtection="1">
      <alignment horizontal="center" vertical="center"/>
      <protection locked="0"/>
    </xf>
    <xf numFmtId="188" fontId="68" fillId="26" borderId="42" xfId="0" applyNumberFormat="1" applyFont="1" applyFill="1" applyBorder="1" applyAlignment="1" applyProtection="1">
      <alignment horizontal="center" vertical="center" wrapText="1"/>
      <protection locked="0"/>
    </xf>
    <xf numFmtId="188" fontId="68" fillId="26" borderId="11" xfId="0" applyNumberFormat="1" applyFont="1" applyFill="1" applyBorder="1" applyAlignment="1" applyProtection="1">
      <alignment horizontal="center" vertical="center" wrapText="1"/>
      <protection locked="0"/>
    </xf>
    <xf numFmtId="0" fontId="78" fillId="6" borderId="129" xfId="0" applyFont="1" applyFill="1" applyBorder="1" applyAlignment="1">
      <alignment horizontal="center" vertical="center" wrapText="1"/>
    </xf>
    <xf numFmtId="0" fontId="78" fillId="6" borderId="45" xfId="0" applyFont="1" applyFill="1" applyBorder="1" applyAlignment="1">
      <alignment horizontal="center" vertical="center" wrapText="1"/>
    </xf>
    <xf numFmtId="0" fontId="78" fillId="6" borderId="94" xfId="0" applyFont="1" applyFill="1" applyBorder="1" applyAlignment="1">
      <alignment horizontal="center" vertical="center" wrapText="1"/>
    </xf>
    <xf numFmtId="0" fontId="78" fillId="6" borderId="44" xfId="0" applyFont="1" applyFill="1" applyBorder="1" applyAlignment="1">
      <alignment horizontal="center" vertical="center" wrapText="1"/>
    </xf>
    <xf numFmtId="0" fontId="78" fillId="6" borderId="24" xfId="0" applyFont="1" applyFill="1" applyBorder="1" applyAlignment="1">
      <alignment horizontal="center" vertical="center" wrapText="1"/>
    </xf>
    <xf numFmtId="0" fontId="78" fillId="6" borderId="22" xfId="0" applyFont="1" applyFill="1" applyBorder="1" applyAlignment="1">
      <alignment horizontal="center" vertical="center" wrapText="1"/>
    </xf>
    <xf numFmtId="0" fontId="9" fillId="0" borderId="127" xfId="0" applyFont="1" applyBorder="1" applyAlignment="1">
      <alignment vertical="center" wrapText="1"/>
    </xf>
    <xf numFmtId="0" fontId="9" fillId="0" borderId="2" xfId="0" applyFont="1" applyBorder="1" applyAlignment="1">
      <alignment vertical="center" wrapText="1"/>
    </xf>
    <xf numFmtId="0" fontId="9" fillId="0" borderId="74" xfId="0" applyFont="1" applyBorder="1" applyAlignment="1">
      <alignment vertical="center" wrapText="1"/>
    </xf>
    <xf numFmtId="0" fontId="9" fillId="0" borderId="7" xfId="0" applyFont="1" applyBorder="1" applyAlignment="1">
      <alignment vertical="center" wrapText="1"/>
    </xf>
    <xf numFmtId="0" fontId="12" fillId="6" borderId="40"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2" fillId="3" borderId="155" xfId="0" applyFont="1" applyFill="1" applyBorder="1" applyAlignment="1">
      <alignment horizontal="center" wrapText="1"/>
    </xf>
    <xf numFmtId="0" fontId="2" fillId="3" borderId="85" xfId="0" applyFont="1" applyFill="1" applyBorder="1" applyAlignment="1">
      <alignment horizontal="center" wrapText="1"/>
    </xf>
    <xf numFmtId="0" fontId="9" fillId="4" borderId="4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13" fillId="3" borderId="156" xfId="0" applyFont="1" applyFill="1" applyBorder="1" applyAlignment="1">
      <alignment horizontal="center" vertical="center" wrapText="1"/>
    </xf>
    <xf numFmtId="0" fontId="2" fillId="4" borderId="24"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13" fillId="3" borderId="124" xfId="0" applyFont="1" applyFill="1" applyBorder="1" applyAlignment="1">
      <alignment vertical="center" wrapText="1"/>
    </xf>
    <xf numFmtId="0" fontId="13" fillId="3" borderId="148" xfId="0" applyFont="1" applyFill="1" applyBorder="1" applyAlignment="1">
      <alignment vertical="center" wrapText="1"/>
    </xf>
    <xf numFmtId="0" fontId="9" fillId="0" borderId="134" xfId="0" applyFont="1" applyBorder="1" applyAlignment="1" applyProtection="1">
      <alignment horizontal="center" vertical="center"/>
      <protection locked="0"/>
    </xf>
    <xf numFmtId="0" fontId="9" fillId="0" borderId="138"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8" xfId="0" applyFont="1" applyBorder="1" applyAlignment="1" applyProtection="1">
      <alignment horizontal="center"/>
      <protection locked="0"/>
    </xf>
    <xf numFmtId="0" fontId="9" fillId="0" borderId="46" xfId="0" applyFont="1" applyBorder="1" applyAlignment="1" applyProtection="1">
      <alignment horizontal="center"/>
      <protection locked="0"/>
    </xf>
    <xf numFmtId="0" fontId="9" fillId="0" borderId="142" xfId="0" applyFont="1" applyBorder="1" applyAlignment="1" applyProtection="1">
      <alignment horizontal="center" vertical="center"/>
      <protection locked="0"/>
    </xf>
    <xf numFmtId="0" fontId="9" fillId="0" borderId="141" xfId="0" applyFont="1" applyBorder="1" applyAlignment="1" applyProtection="1">
      <alignment horizontal="center" vertical="center"/>
      <protection locked="0"/>
    </xf>
    <xf numFmtId="0" fontId="9" fillId="27" borderId="129" xfId="0" applyFont="1" applyFill="1" applyBorder="1" applyAlignment="1">
      <alignment vertical="center" wrapText="1"/>
    </xf>
    <xf numFmtId="0" fontId="9" fillId="27" borderId="45" xfId="0" applyFont="1" applyFill="1" applyBorder="1" applyAlignment="1">
      <alignment vertical="center" wrapText="1"/>
    </xf>
    <xf numFmtId="0" fontId="9" fillId="27" borderId="94" xfId="0" applyFont="1" applyFill="1" applyBorder="1" applyAlignment="1">
      <alignment vertical="center" wrapText="1"/>
    </xf>
    <xf numFmtId="0" fontId="9" fillId="27" borderId="51" xfId="0" applyFont="1" applyFill="1" applyBorder="1" applyAlignment="1">
      <alignment vertical="center" wrapText="1"/>
    </xf>
    <xf numFmtId="0" fontId="9" fillId="27" borderId="0" xfId="0" applyFont="1" applyFill="1" applyAlignment="1">
      <alignment vertical="center" wrapText="1"/>
    </xf>
    <xf numFmtId="0" fontId="9" fillId="27" borderId="28" xfId="0" applyFont="1" applyFill="1" applyBorder="1" applyAlignment="1">
      <alignment vertical="center" wrapText="1"/>
    </xf>
    <xf numFmtId="0" fontId="9" fillId="27" borderId="44" xfId="0" applyFont="1" applyFill="1" applyBorder="1" applyAlignment="1">
      <alignment vertical="center" wrapText="1"/>
    </xf>
    <xf numFmtId="0" fontId="9" fillId="27" borderId="24" xfId="0" applyFont="1" applyFill="1" applyBorder="1" applyAlignment="1">
      <alignment vertical="center" wrapText="1"/>
    </xf>
    <xf numFmtId="0" fontId="9" fillId="27" borderId="22" xfId="0" applyFont="1" applyFill="1" applyBorder="1" applyAlignment="1">
      <alignment vertical="center" wrapText="1"/>
    </xf>
    <xf numFmtId="0" fontId="9" fillId="0" borderId="5" xfId="0" applyFont="1" applyBorder="1" applyAlignment="1">
      <alignment horizontal="center" vertical="center"/>
    </xf>
    <xf numFmtId="0" fontId="9" fillId="0" borderId="13" xfId="0" applyFont="1" applyBorder="1" applyAlignment="1">
      <alignment horizontal="center" vertical="center"/>
    </xf>
    <xf numFmtId="49" fontId="9" fillId="27" borderId="129" xfId="0" applyNumberFormat="1" applyFont="1" applyFill="1" applyBorder="1" applyAlignment="1">
      <alignment vertical="center" wrapText="1"/>
    </xf>
    <xf numFmtId="49" fontId="9" fillId="27" borderId="45" xfId="0" applyNumberFormat="1" applyFont="1" applyFill="1" applyBorder="1" applyAlignment="1">
      <alignment vertical="center" wrapText="1"/>
    </xf>
    <xf numFmtId="49" fontId="9" fillId="27" borderId="94" xfId="0" applyNumberFormat="1" applyFont="1" applyFill="1" applyBorder="1" applyAlignment="1">
      <alignment vertical="center" wrapText="1"/>
    </xf>
    <xf numFmtId="49" fontId="9" fillId="27" borderId="51" xfId="0" applyNumberFormat="1" applyFont="1" applyFill="1" applyBorder="1" applyAlignment="1">
      <alignment vertical="center" wrapText="1"/>
    </xf>
    <xf numFmtId="49" fontId="9" fillId="27" borderId="0" xfId="0" applyNumberFormat="1" applyFont="1" applyFill="1" applyAlignment="1">
      <alignment vertical="center" wrapText="1"/>
    </xf>
    <xf numFmtId="49" fontId="9" fillId="27" borderId="28" xfId="0" applyNumberFormat="1" applyFont="1" applyFill="1" applyBorder="1" applyAlignment="1">
      <alignment vertical="center" wrapText="1"/>
    </xf>
    <xf numFmtId="49" fontId="9" fillId="27" borderId="44" xfId="0" applyNumberFormat="1" applyFont="1" applyFill="1" applyBorder="1" applyAlignment="1">
      <alignment vertical="center" wrapText="1"/>
    </xf>
    <xf numFmtId="49" fontId="9" fillId="27" borderId="24" xfId="0" applyNumberFormat="1" applyFont="1" applyFill="1" applyBorder="1" applyAlignment="1">
      <alignment vertical="center" wrapText="1"/>
    </xf>
    <xf numFmtId="49" fontId="9" fillId="27" borderId="22" xfId="0" applyNumberFormat="1" applyFont="1" applyFill="1" applyBorder="1" applyAlignment="1">
      <alignment vertical="center" wrapText="1"/>
    </xf>
    <xf numFmtId="0" fontId="6" fillId="26" borderId="195" xfId="0" applyFont="1" applyFill="1" applyBorder="1" applyAlignment="1" applyProtection="1">
      <alignment horizontal="center" vertical="center" wrapText="1"/>
      <protection locked="0"/>
    </xf>
    <xf numFmtId="0" fontId="6" fillId="26" borderId="113" xfId="0" applyFont="1" applyFill="1" applyBorder="1" applyAlignment="1" applyProtection="1">
      <alignment horizontal="center" vertical="center" wrapText="1"/>
      <protection locked="0"/>
    </xf>
    <xf numFmtId="0" fontId="6" fillId="26" borderId="122" xfId="0" applyFont="1" applyFill="1" applyBorder="1" applyAlignment="1" applyProtection="1">
      <alignment horizontal="center" vertical="center" wrapText="1"/>
      <protection locked="0"/>
    </xf>
    <xf numFmtId="0" fontId="6" fillId="26" borderId="55" xfId="0" applyFont="1" applyFill="1" applyBorder="1" applyAlignment="1" applyProtection="1">
      <alignment horizontal="center" vertical="center" wrapText="1"/>
      <protection locked="0"/>
    </xf>
    <xf numFmtId="49" fontId="9" fillId="2" borderId="54" xfId="0" applyNumberFormat="1" applyFont="1" applyFill="1" applyBorder="1" applyAlignment="1">
      <alignment horizontal="center"/>
    </xf>
    <xf numFmtId="49" fontId="9" fillId="2" borderId="12" xfId="0" applyNumberFormat="1" applyFont="1" applyFill="1" applyBorder="1" applyAlignment="1">
      <alignment horizontal="center"/>
    </xf>
    <xf numFmtId="0" fontId="9" fillId="4" borderId="149" xfId="0" applyFont="1" applyFill="1" applyBorder="1" applyAlignment="1">
      <alignment horizontal="center" wrapText="1"/>
    </xf>
    <xf numFmtId="0" fontId="9" fillId="4" borderId="105" xfId="0" applyFont="1" applyFill="1" applyBorder="1" applyAlignment="1">
      <alignment horizontal="center" wrapText="1"/>
    </xf>
    <xf numFmtId="0" fontId="6" fillId="26" borderId="54" xfId="0" applyFont="1" applyFill="1" applyBorder="1" applyAlignment="1" applyProtection="1">
      <alignment horizontal="center" vertical="center" wrapText="1"/>
      <protection locked="0"/>
    </xf>
    <xf numFmtId="0" fontId="6" fillId="26" borderId="34" xfId="0" applyFont="1" applyFill="1" applyBorder="1" applyAlignment="1" applyProtection="1">
      <alignment horizontal="center" vertical="center" wrapText="1"/>
      <protection locked="0"/>
    </xf>
    <xf numFmtId="0" fontId="59" fillId="26" borderId="40" xfId="0" applyFont="1" applyFill="1" applyBorder="1" applyAlignment="1" applyProtection="1">
      <alignment horizontal="center" vertical="center" wrapText="1"/>
      <protection locked="0"/>
    </xf>
    <xf numFmtId="0" fontId="59" fillId="26" borderId="4" xfId="0" applyFont="1" applyFill="1" applyBorder="1" applyAlignment="1" applyProtection="1">
      <alignment horizontal="center" vertical="center" wrapText="1"/>
      <protection locked="0"/>
    </xf>
    <xf numFmtId="0" fontId="6" fillId="26" borderId="13" xfId="0" applyFont="1" applyFill="1" applyBorder="1" applyAlignment="1" applyProtection="1">
      <alignment horizontal="center" vertical="center" wrapText="1"/>
      <protection locked="0"/>
    </xf>
    <xf numFmtId="0" fontId="9" fillId="0" borderId="129" xfId="0" applyFont="1" applyBorder="1" applyAlignment="1">
      <alignment horizontal="center" vertical="center" wrapText="1"/>
    </xf>
    <xf numFmtId="0" fontId="9" fillId="0" borderId="138"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25" xfId="0" applyFont="1" applyBorder="1" applyAlignment="1">
      <alignment horizontal="center" vertical="center" wrapText="1"/>
    </xf>
    <xf numFmtId="0" fontId="6" fillId="26" borderId="158" xfId="0" applyFont="1" applyFill="1" applyBorder="1" applyAlignment="1" applyProtection="1">
      <alignment horizontal="center" vertical="center" wrapText="1"/>
      <protection locked="0"/>
    </xf>
    <xf numFmtId="0" fontId="6" fillId="26" borderId="131" xfId="0" applyFont="1" applyFill="1" applyBorder="1" applyAlignment="1" applyProtection="1">
      <alignment horizontal="center" vertical="center" wrapText="1"/>
      <protection locked="0"/>
    </xf>
    <xf numFmtId="0" fontId="59" fillId="26" borderId="36" xfId="0" applyFont="1" applyFill="1" applyBorder="1" applyAlignment="1" applyProtection="1">
      <alignment horizontal="center" vertical="center" wrapText="1"/>
      <protection locked="0"/>
    </xf>
    <xf numFmtId="0" fontId="9" fillId="4" borderId="150" xfId="0" applyFont="1" applyFill="1" applyBorder="1" applyAlignment="1">
      <alignment horizontal="center" wrapText="1"/>
    </xf>
    <xf numFmtId="0" fontId="9" fillId="4" borderId="149" xfId="0" applyFont="1" applyFill="1" applyBorder="1" applyAlignment="1">
      <alignment horizontal="center" vertical="center" wrapText="1"/>
    </xf>
    <xf numFmtId="0" fontId="9" fillId="4" borderId="153" xfId="0" applyFont="1" applyFill="1" applyBorder="1" applyAlignment="1">
      <alignment horizontal="center" vertical="center" wrapText="1"/>
    </xf>
    <xf numFmtId="0" fontId="16" fillId="4" borderId="152" xfId="0" applyFont="1" applyFill="1" applyBorder="1" applyAlignment="1">
      <alignment horizontal="center" vertical="center" wrapText="1"/>
    </xf>
    <xf numFmtId="0" fontId="16" fillId="4" borderId="153" xfId="0" applyFont="1" applyFill="1" applyBorder="1" applyAlignment="1">
      <alignment horizontal="center" vertical="center" wrapText="1"/>
    </xf>
    <xf numFmtId="0" fontId="61" fillId="4" borderId="152" xfId="0" applyFont="1" applyFill="1" applyBorder="1" applyAlignment="1">
      <alignment horizontal="center" vertical="center" wrapText="1"/>
    </xf>
    <xf numFmtId="0" fontId="61" fillId="4" borderId="153" xfId="0" applyFont="1" applyFill="1" applyBorder="1" applyAlignment="1">
      <alignment horizontal="center" vertical="center" wrapText="1"/>
    </xf>
    <xf numFmtId="0" fontId="9" fillId="0" borderId="9" xfId="0" applyFont="1" applyBorder="1" applyAlignment="1">
      <alignment vertical="center" wrapText="1"/>
    </xf>
    <xf numFmtId="0" fontId="9" fillId="0" borderId="8" xfId="0" applyFont="1" applyBorder="1" applyAlignment="1">
      <alignment vertical="center" wrapText="1"/>
    </xf>
    <xf numFmtId="0" fontId="9" fillId="0" borderId="23" xfId="0" applyFont="1" applyBorder="1" applyAlignment="1">
      <alignment vertical="center" wrapText="1"/>
    </xf>
    <xf numFmtId="0" fontId="9" fillId="0" borderId="2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47" fillId="0" borderId="56" xfId="0" applyFont="1" applyBorder="1" applyAlignment="1">
      <alignment vertical="center" wrapText="1"/>
    </xf>
    <xf numFmtId="0" fontId="47" fillId="0" borderId="68" xfId="0" applyFont="1" applyBorder="1" applyAlignment="1">
      <alignment vertical="center" wrapText="1"/>
    </xf>
    <xf numFmtId="0" fontId="6" fillId="26" borderId="14" xfId="0" applyFont="1" applyFill="1" applyBorder="1" applyAlignment="1" applyProtection="1">
      <alignment horizontal="center" vertical="center" wrapText="1"/>
      <protection locked="0"/>
    </xf>
    <xf numFmtId="0" fontId="6" fillId="26" borderId="6" xfId="0" applyFont="1" applyFill="1" applyBorder="1" applyAlignment="1" applyProtection="1">
      <alignment horizontal="center" vertical="center" wrapText="1"/>
      <protection locked="0"/>
    </xf>
    <xf numFmtId="0" fontId="6" fillId="26" borderId="9" xfId="0" applyFont="1" applyFill="1" applyBorder="1" applyAlignment="1" applyProtection="1">
      <alignment horizontal="center" vertical="center" wrapText="1"/>
      <protection locked="0"/>
    </xf>
    <xf numFmtId="0" fontId="6" fillId="26" borderId="11" xfId="0" applyFont="1" applyFill="1" applyBorder="1" applyAlignment="1" applyProtection="1">
      <alignment horizontal="center" vertical="center" wrapText="1"/>
      <protection locked="0"/>
    </xf>
    <xf numFmtId="0" fontId="6" fillId="26" borderId="27" xfId="0" applyFont="1" applyFill="1" applyBorder="1" applyAlignment="1" applyProtection="1">
      <alignment horizontal="center" vertical="center" wrapText="1"/>
      <protection locked="0"/>
    </xf>
    <xf numFmtId="0" fontId="6" fillId="26" borderId="25" xfId="0" applyFont="1" applyFill="1" applyBorder="1" applyAlignment="1" applyProtection="1">
      <alignment horizontal="center" vertical="center" wrapText="1"/>
      <protection locked="0"/>
    </xf>
    <xf numFmtId="0" fontId="9" fillId="0" borderId="10" xfId="0" applyFont="1" applyBorder="1" applyAlignment="1">
      <alignment vertical="center" wrapText="1"/>
    </xf>
    <xf numFmtId="0" fontId="9" fillId="0" borderId="5" xfId="0" applyFont="1" applyBorder="1" applyAlignment="1">
      <alignment vertical="center" wrapText="1"/>
    </xf>
    <xf numFmtId="0" fontId="9" fillId="0" borderId="13" xfId="0" applyFont="1" applyBorder="1" applyAlignment="1">
      <alignment vertical="center" wrapText="1"/>
    </xf>
    <xf numFmtId="0" fontId="9" fillId="0" borderId="54" xfId="0" applyFont="1" applyBorder="1" applyAlignment="1">
      <alignment vertical="center" wrapText="1"/>
    </xf>
    <xf numFmtId="0" fontId="16" fillId="0" borderId="42" xfId="0" applyFont="1" applyBorder="1" applyAlignment="1">
      <alignment vertical="center" wrapText="1"/>
    </xf>
    <xf numFmtId="0" fontId="16" fillId="0" borderId="8" xfId="0" applyFont="1" applyBorder="1" applyAlignment="1">
      <alignment vertical="center" wrapText="1"/>
    </xf>
    <xf numFmtId="0" fontId="9" fillId="0" borderId="19" xfId="0" applyFont="1" applyBorder="1" applyAlignment="1">
      <alignment vertical="center" wrapText="1"/>
    </xf>
    <xf numFmtId="0" fontId="9" fillId="0" borderId="31" xfId="0" applyFont="1" applyBorder="1" applyAlignment="1">
      <alignment vertical="center" wrapText="1"/>
    </xf>
    <xf numFmtId="0" fontId="16" fillId="0" borderId="19" xfId="0" applyFont="1" applyBorder="1" applyAlignment="1">
      <alignment vertical="center" wrapText="1"/>
    </xf>
    <xf numFmtId="0" fontId="16" fillId="0" borderId="31" xfId="0" applyFont="1" applyBorder="1" applyAlignment="1">
      <alignment vertical="center" wrapText="1"/>
    </xf>
    <xf numFmtId="0" fontId="16" fillId="0" borderId="21" xfId="0" applyFont="1" applyBorder="1" applyAlignment="1">
      <alignment vertical="center" wrapText="1"/>
    </xf>
    <xf numFmtId="0" fontId="16" fillId="0" borderId="95" xfId="0" applyFont="1" applyBorder="1" applyAlignment="1">
      <alignment vertical="center" wrapText="1"/>
    </xf>
    <xf numFmtId="0" fontId="22" fillId="0" borderId="71" xfId="0" applyFont="1" applyBorder="1" applyAlignment="1">
      <alignment vertical="center" wrapText="1"/>
    </xf>
    <xf numFmtId="0" fontId="22" fillId="0" borderId="72" xfId="0" applyFont="1" applyBorder="1" applyAlignment="1">
      <alignment vertical="center" wrapText="1"/>
    </xf>
    <xf numFmtId="0" fontId="22" fillId="0" borderId="159" xfId="0" applyFont="1" applyBorder="1" applyAlignment="1">
      <alignment vertical="center" wrapText="1"/>
    </xf>
    <xf numFmtId="0" fontId="9" fillId="0" borderId="66" xfId="0" applyFont="1" applyBorder="1" applyAlignment="1">
      <alignment vertical="center" wrapText="1"/>
    </xf>
    <xf numFmtId="0" fontId="165" fillId="4" borderId="24" xfId="0" applyFont="1" applyFill="1" applyBorder="1" applyAlignment="1">
      <alignment vertical="center" wrapText="1"/>
    </xf>
    <xf numFmtId="0" fontId="165" fillId="4" borderId="22" xfId="0" applyFont="1" applyFill="1" applyBorder="1" applyAlignment="1">
      <alignment vertical="center" wrapText="1"/>
    </xf>
    <xf numFmtId="0" fontId="9" fillId="4" borderId="43" xfId="0" applyFont="1" applyFill="1" applyBorder="1" applyAlignment="1">
      <alignment horizontal="center" vertical="center"/>
    </xf>
    <xf numFmtId="0" fontId="9" fillId="4" borderId="32"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34" xfId="0" applyFont="1" applyBorder="1" applyAlignment="1">
      <alignment horizontal="center" vertical="center" wrapText="1"/>
    </xf>
    <xf numFmtId="2" fontId="9" fillId="0" borderId="5" xfId="0" applyNumberFormat="1" applyFont="1" applyBorder="1" applyAlignment="1">
      <alignment horizontal="center" vertical="center" wrapText="1"/>
    </xf>
    <xf numFmtId="2" fontId="9" fillId="0" borderId="34" xfId="0" applyNumberFormat="1" applyFont="1" applyBorder="1" applyAlignment="1">
      <alignment horizontal="center" vertical="center" wrapText="1"/>
    </xf>
    <xf numFmtId="0" fontId="14" fillId="4" borderId="104" xfId="0" applyFont="1" applyFill="1" applyBorder="1" applyAlignment="1">
      <alignment vertical="center" wrapText="1"/>
    </xf>
    <xf numFmtId="0" fontId="9" fillId="0" borderId="12" xfId="0" applyFont="1" applyBorder="1" applyAlignment="1">
      <alignment vertical="center" wrapText="1"/>
    </xf>
    <xf numFmtId="0" fontId="9" fillId="0" borderId="1" xfId="0" applyFont="1" applyBorder="1" applyAlignment="1">
      <alignment vertical="center" wrapText="1"/>
    </xf>
    <xf numFmtId="0" fontId="6" fillId="26" borderId="5" xfId="0" applyFont="1" applyFill="1" applyBorder="1" applyAlignment="1" applyProtection="1">
      <alignment horizontal="center" vertical="center" wrapText="1"/>
      <protection locked="0"/>
    </xf>
    <xf numFmtId="0" fontId="16" fillId="0" borderId="12" xfId="0" applyFont="1" applyBorder="1" applyAlignment="1">
      <alignment vertical="center" wrapText="1"/>
    </xf>
    <xf numFmtId="0" fontId="16" fillId="0" borderId="1" xfId="0" applyFont="1" applyBorder="1" applyAlignment="1">
      <alignment vertical="center" wrapText="1"/>
    </xf>
    <xf numFmtId="0" fontId="16" fillId="0" borderId="10" xfId="0" applyFont="1" applyBorder="1" applyAlignment="1">
      <alignment vertical="center" wrapText="1"/>
    </xf>
    <xf numFmtId="0" fontId="16" fillId="0" borderId="30" xfId="0" applyFont="1" applyBorder="1" applyAlignment="1">
      <alignment vertical="center" wrapText="1"/>
    </xf>
    <xf numFmtId="0" fontId="9" fillId="0" borderId="9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2" xfId="0" applyFont="1" applyBorder="1" applyAlignment="1">
      <alignment horizontal="center" vertical="center" wrapText="1"/>
    </xf>
    <xf numFmtId="0" fontId="9" fillId="4" borderId="105" xfId="0" applyFont="1" applyFill="1" applyBorder="1" applyAlignment="1">
      <alignment horizontal="center" vertical="center" wrapText="1"/>
    </xf>
    <xf numFmtId="0" fontId="6" fillId="26" borderId="24" xfId="0" applyFont="1" applyFill="1" applyBorder="1" applyAlignment="1" applyProtection="1">
      <alignment horizontal="center" vertical="center" wrapText="1"/>
      <protection locked="0"/>
    </xf>
    <xf numFmtId="0" fontId="6" fillId="26" borderId="35" xfId="0" applyFont="1" applyFill="1" applyBorder="1" applyAlignment="1" applyProtection="1">
      <alignment horizontal="center" vertical="center" wrapText="1"/>
      <protection locked="0"/>
    </xf>
    <xf numFmtId="0" fontId="6" fillId="26" borderId="44" xfId="0" applyFont="1" applyFill="1" applyBorder="1" applyAlignment="1" applyProtection="1">
      <alignment horizontal="center" vertical="center" wrapText="1"/>
      <protection locked="0"/>
    </xf>
    <xf numFmtId="0" fontId="6" fillId="26" borderId="22" xfId="0" applyFont="1" applyFill="1" applyBorder="1" applyAlignment="1" applyProtection="1">
      <alignment horizontal="center" vertical="center" wrapText="1"/>
      <protection locked="0"/>
    </xf>
    <xf numFmtId="0" fontId="6" fillId="26" borderId="40" xfId="0" applyFont="1" applyFill="1" applyBorder="1" applyAlignment="1" applyProtection="1">
      <alignment horizontal="center" vertical="center" wrapText="1"/>
      <protection locked="0"/>
    </xf>
    <xf numFmtId="0" fontId="6" fillId="26" borderId="4" xfId="0" applyFont="1" applyFill="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1" xfId="0" applyFont="1" applyBorder="1" applyAlignment="1">
      <alignment vertical="center" wrapText="1"/>
    </xf>
    <xf numFmtId="0" fontId="6" fillId="26" borderId="42" xfId="0" applyFont="1" applyFill="1" applyBorder="1" applyAlignment="1" applyProtection="1">
      <alignment horizontal="center" vertical="center" wrapText="1"/>
      <protection locked="0"/>
    </xf>
    <xf numFmtId="0" fontId="6" fillId="26" borderId="23" xfId="0" applyFont="1" applyFill="1" applyBorder="1" applyAlignment="1" applyProtection="1">
      <alignment horizontal="center" vertical="center" wrapText="1"/>
      <protection locked="0"/>
    </xf>
    <xf numFmtId="0" fontId="2" fillId="4" borderId="8" xfId="0" applyFont="1" applyFill="1" applyBorder="1" applyAlignment="1">
      <alignment vertical="center" wrapText="1"/>
    </xf>
    <xf numFmtId="0" fontId="2" fillId="4" borderId="23" xfId="0" applyFont="1" applyFill="1" applyBorder="1" applyAlignment="1">
      <alignment vertical="center" wrapText="1"/>
    </xf>
    <xf numFmtId="0" fontId="9" fillId="0" borderId="134" xfId="0" applyFont="1" applyBorder="1" applyAlignment="1">
      <alignment horizontal="center" vertical="center"/>
    </xf>
    <xf numFmtId="0" fontId="9" fillId="0" borderId="45" xfId="0" applyFont="1" applyBorder="1" applyAlignment="1">
      <alignment horizontal="center" vertical="center"/>
    </xf>
    <xf numFmtId="0" fontId="9" fillId="0" borderId="94"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4" borderId="2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152" xfId="0" applyFont="1" applyFill="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34" xfId="0" applyNumberFormat="1" applyFont="1" applyBorder="1" applyAlignment="1">
      <alignment horizontal="center" vertical="center" wrapText="1"/>
    </xf>
    <xf numFmtId="0" fontId="9" fillId="0" borderId="66" xfId="0" applyFont="1" applyBorder="1" applyAlignment="1">
      <alignment horizontal="center" vertical="center"/>
    </xf>
    <xf numFmtId="0" fontId="9" fillId="0" borderId="126" xfId="0" applyFont="1" applyBorder="1" applyAlignment="1">
      <alignment horizontal="center" vertical="center"/>
    </xf>
    <xf numFmtId="0" fontId="9" fillId="0" borderId="129" xfId="0" applyFont="1" applyBorder="1" applyAlignment="1" applyProtection="1">
      <alignment horizontal="center" vertical="center" wrapText="1"/>
      <protection locked="0"/>
    </xf>
    <xf numFmtId="0" fontId="9" fillId="0" borderId="138" xfId="0" applyFont="1" applyBorder="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192" fontId="9" fillId="0" borderId="21" xfId="0" applyNumberFormat="1" applyFont="1" applyBorder="1" applyAlignment="1" applyProtection="1">
      <alignment horizontal="center" vertical="center"/>
      <protection locked="0"/>
    </xf>
    <xf numFmtId="192" fontId="9" fillId="0" borderId="36" xfId="0" applyNumberFormat="1" applyFont="1" applyBorder="1" applyAlignment="1" applyProtection="1">
      <alignment horizontal="center" vertical="center"/>
      <protection locked="0"/>
    </xf>
    <xf numFmtId="188" fontId="9" fillId="0" borderId="10" xfId="0" applyNumberFormat="1" applyFont="1" applyBorder="1" applyAlignment="1" applyProtection="1">
      <alignment horizontal="center" vertical="center"/>
      <protection locked="0"/>
    </xf>
    <xf numFmtId="188" fontId="9" fillId="0" borderId="34" xfId="0" applyNumberFormat="1" applyFont="1" applyBorder="1" applyAlignment="1" applyProtection="1">
      <alignment horizontal="center" vertical="center"/>
      <protection locked="0"/>
    </xf>
    <xf numFmtId="188" fontId="12" fillId="0" borderId="10" xfId="0" applyNumberFormat="1" applyFont="1" applyBorder="1" applyAlignment="1" applyProtection="1">
      <alignment horizontal="center" vertical="center"/>
      <protection locked="0"/>
    </xf>
    <xf numFmtId="188" fontId="12" fillId="0" borderId="34" xfId="0" applyNumberFormat="1" applyFont="1" applyBorder="1" applyAlignment="1" applyProtection="1">
      <alignment horizontal="center" vertical="center"/>
      <protection locked="0"/>
    </xf>
    <xf numFmtId="189" fontId="9" fillId="0" borderId="10" xfId="0" applyNumberFormat="1" applyFont="1" applyBorder="1" applyAlignment="1" applyProtection="1">
      <alignment horizontal="center" vertical="center"/>
      <protection locked="0"/>
    </xf>
    <xf numFmtId="189" fontId="9" fillId="0" borderId="34" xfId="0" applyNumberFormat="1" applyFont="1" applyBorder="1" applyAlignment="1" applyProtection="1">
      <alignment horizontal="center" vertical="center"/>
      <protection locked="0"/>
    </xf>
    <xf numFmtId="189" fontId="9" fillId="0" borderId="14" xfId="0" applyNumberFormat="1" applyFont="1" applyBorder="1" applyAlignment="1" applyProtection="1">
      <alignment horizontal="center" vertical="center"/>
      <protection locked="0"/>
    </xf>
    <xf numFmtId="189" fontId="9" fillId="0" borderId="32" xfId="0" applyNumberFormat="1" applyFont="1" applyBorder="1" applyAlignment="1" applyProtection="1">
      <alignment horizontal="center" vertical="center"/>
      <protection locked="0"/>
    </xf>
    <xf numFmtId="0" fontId="9" fillId="0" borderId="97" xfId="0" applyFont="1" applyBorder="1" applyAlignment="1" applyProtection="1">
      <alignment horizontal="center" vertical="center" wrapText="1"/>
      <protection locked="0"/>
    </xf>
    <xf numFmtId="0" fontId="9" fillId="0" borderId="120"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62" xfId="0" applyFont="1" applyBorder="1" applyAlignment="1" applyProtection="1">
      <alignment horizontal="center" vertical="center"/>
      <protection locked="0"/>
    </xf>
    <xf numFmtId="0" fontId="9" fillId="0" borderId="120"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6" fillId="26" borderId="10" xfId="0" applyFont="1" applyFill="1" applyBorder="1" applyAlignment="1" applyProtection="1">
      <alignment horizontal="center" vertical="center" wrapText="1"/>
      <protection locked="0"/>
    </xf>
    <xf numFmtId="0" fontId="6" fillId="26" borderId="12" xfId="0" applyFont="1" applyFill="1" applyBorder="1" applyAlignment="1" applyProtection="1">
      <alignment horizontal="center" vertical="center" wrapText="1"/>
      <protection locked="0"/>
    </xf>
    <xf numFmtId="0" fontId="339" fillId="24" borderId="205" xfId="0" applyFont="1" applyFill="1" applyBorder="1" applyAlignment="1">
      <alignment horizontal="center" vertical="center"/>
    </xf>
    <xf numFmtId="0" fontId="341" fillId="24" borderId="206" xfId="0" applyFont="1" applyFill="1" applyBorder="1" applyAlignment="1">
      <alignment horizontal="center" vertical="center"/>
    </xf>
    <xf numFmtId="192" fontId="9" fillId="0" borderId="9" xfId="0" applyNumberFormat="1" applyFont="1" applyBorder="1" applyAlignment="1" applyProtection="1">
      <alignment horizontal="center" vertical="center"/>
      <protection locked="0"/>
    </xf>
    <xf numFmtId="192" fontId="9" fillId="0" borderId="33" xfId="0" applyNumberFormat="1" applyFont="1" applyBorder="1" applyAlignment="1" applyProtection="1">
      <alignment horizontal="center" vertical="center"/>
      <protection locked="0"/>
    </xf>
    <xf numFmtId="0" fontId="308" fillId="26" borderId="54" xfId="0" applyFont="1" applyFill="1" applyBorder="1" applyAlignment="1" applyProtection="1">
      <alignment horizontal="center" vertical="center" wrapText="1"/>
      <protection locked="0"/>
    </xf>
    <xf numFmtId="0" fontId="308" fillId="26" borderId="34" xfId="0" applyFont="1" applyFill="1" applyBorder="1" applyAlignment="1" applyProtection="1">
      <alignment horizontal="center" vertical="center" wrapText="1"/>
      <protection locked="0"/>
    </xf>
    <xf numFmtId="0" fontId="6" fillId="26" borderId="137" xfId="0" applyFont="1" applyFill="1" applyBorder="1" applyAlignment="1" applyProtection="1">
      <alignment horizontal="center" vertical="center" wrapText="1"/>
      <protection locked="0"/>
    </xf>
    <xf numFmtId="0" fontId="68" fillId="26" borderId="54" xfId="0" applyFont="1" applyFill="1" applyBorder="1" applyAlignment="1" applyProtection="1">
      <alignment horizontal="center" vertical="center" wrapText="1"/>
      <protection locked="0"/>
    </xf>
    <xf numFmtId="0" fontId="68" fillId="26" borderId="12" xfId="0" applyFont="1" applyFill="1" applyBorder="1" applyAlignment="1" applyProtection="1">
      <alignment horizontal="center" vertical="center" wrapTex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104" xfId="0" applyFont="1" applyFill="1" applyBorder="1" applyAlignment="1">
      <alignment horizontal="center" wrapText="1"/>
    </xf>
    <xf numFmtId="0" fontId="16" fillId="4" borderId="150" xfId="0" applyFont="1" applyFill="1" applyBorder="1" applyAlignment="1">
      <alignment horizontal="center" wrapText="1"/>
    </xf>
    <xf numFmtId="0" fontId="31" fillId="0" borderId="0" xfId="0" applyFont="1" applyAlignment="1">
      <alignment horizontal="center"/>
    </xf>
    <xf numFmtId="0" fontId="9" fillId="6" borderId="62" xfId="0" applyFont="1" applyFill="1" applyBorder="1" applyAlignment="1">
      <alignment horizontal="center" vertical="center" wrapText="1"/>
    </xf>
    <xf numFmtId="0" fontId="9" fillId="6" borderId="120" xfId="0" applyFont="1" applyFill="1" applyBorder="1" applyAlignment="1">
      <alignment horizontal="center" vertical="center" wrapText="1"/>
    </xf>
    <xf numFmtId="0" fontId="9" fillId="6" borderId="48"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194" fillId="0" borderId="9" xfId="0" applyFont="1" applyBorder="1" applyAlignment="1" applyProtection="1">
      <alignment horizontal="center" vertical="center" wrapText="1"/>
      <protection locked="0"/>
    </xf>
    <xf numFmtId="0" fontId="194" fillId="0" borderId="8" xfId="0" applyFont="1" applyBorder="1" applyAlignment="1" applyProtection="1">
      <alignment horizontal="center" vertical="center" wrapText="1"/>
      <protection locked="0"/>
    </xf>
    <xf numFmtId="0" fontId="194" fillId="0" borderId="11" xfId="0" applyFont="1" applyBorder="1" applyAlignment="1" applyProtection="1">
      <alignment horizontal="center" vertical="center" wrapText="1"/>
      <protection locked="0"/>
    </xf>
    <xf numFmtId="0" fontId="68" fillId="26" borderId="9" xfId="0" applyFont="1" applyFill="1" applyBorder="1" applyAlignment="1" applyProtection="1">
      <alignment horizontal="center" vertical="center" wrapText="1"/>
      <protection locked="0"/>
    </xf>
    <xf numFmtId="0" fontId="68" fillId="26" borderId="11" xfId="0" applyFont="1" applyFill="1" applyBorder="1" applyAlignment="1" applyProtection="1">
      <alignment horizontal="center" vertical="center" wrapText="1"/>
      <protection locked="0"/>
    </xf>
    <xf numFmtId="0" fontId="13" fillId="3" borderId="157" xfId="0" applyFont="1" applyFill="1" applyBorder="1" applyAlignment="1">
      <alignment horizontal="center" vertical="center" wrapText="1"/>
    </xf>
    <xf numFmtId="49" fontId="70" fillId="6" borderId="21" xfId="0" applyNumberFormat="1" applyFont="1" applyFill="1" applyBorder="1" applyAlignment="1">
      <alignment horizontal="center" vertical="center"/>
    </xf>
    <xf numFmtId="49" fontId="70" fillId="6" borderId="4" xfId="0" applyNumberFormat="1" applyFont="1" applyFill="1" applyBorder="1" applyAlignment="1">
      <alignment horizontal="center" vertical="center"/>
    </xf>
    <xf numFmtId="49" fontId="70" fillId="0" borderId="27" xfId="0" applyNumberFormat="1" applyFont="1" applyBorder="1" applyAlignment="1">
      <alignment horizontal="center" vertical="center"/>
    </xf>
    <xf numFmtId="49" fontId="70" fillId="0" borderId="22" xfId="0" applyNumberFormat="1" applyFont="1" applyBorder="1" applyAlignment="1">
      <alignment horizontal="center" vertical="center"/>
    </xf>
    <xf numFmtId="49" fontId="70" fillId="6" borderId="19" xfId="0" applyNumberFormat="1" applyFont="1" applyFill="1" applyBorder="1" applyAlignment="1">
      <alignment horizontal="center" vertical="center"/>
    </xf>
    <xf numFmtId="49" fontId="70" fillId="0" borderId="44" xfId="0" applyNumberFormat="1" applyFont="1" applyBorder="1" applyAlignment="1">
      <alignment horizontal="center" vertical="center"/>
    </xf>
    <xf numFmtId="49" fontId="70" fillId="0" borderId="25" xfId="0" applyNumberFormat="1" applyFont="1" applyBorder="1" applyAlignment="1">
      <alignment horizontal="center" vertical="center"/>
    </xf>
    <xf numFmtId="0" fontId="12" fillId="0" borderId="4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2" xfId="0" applyFont="1" applyBorder="1" applyAlignment="1">
      <alignment horizontal="center" vertical="center" wrapText="1"/>
    </xf>
    <xf numFmtId="0" fontId="75" fillId="0" borderId="44" xfId="0" applyFont="1" applyBorder="1" applyAlignment="1" applyProtection="1">
      <alignment horizontal="center" vertical="center"/>
      <protection locked="0"/>
    </xf>
    <xf numFmtId="0" fontId="75" fillId="0" borderId="25" xfId="0" applyFont="1" applyBorder="1" applyAlignment="1" applyProtection="1">
      <alignment horizontal="center" vertical="center"/>
      <protection locked="0"/>
    </xf>
    <xf numFmtId="0" fontId="75" fillId="0" borderId="21" xfId="0" applyFont="1" applyBorder="1" applyAlignment="1" applyProtection="1">
      <alignment horizontal="center" vertical="center"/>
      <protection locked="0"/>
    </xf>
    <xf numFmtId="0" fontId="75" fillId="0" borderId="19" xfId="0" applyFont="1" applyBorder="1" applyAlignment="1" applyProtection="1">
      <alignment horizontal="center" vertical="center"/>
      <protection locked="0"/>
    </xf>
    <xf numFmtId="0" fontId="75" fillId="0" borderId="27" xfId="0" applyFont="1" applyBorder="1" applyAlignment="1" applyProtection="1">
      <alignment horizontal="center" vertical="center"/>
      <protection locked="0"/>
    </xf>
    <xf numFmtId="49" fontId="70" fillId="6" borderId="40" xfId="0" applyNumberFormat="1" applyFont="1" applyFill="1" applyBorder="1" applyAlignment="1">
      <alignment horizontal="center" vertical="center"/>
    </xf>
    <xf numFmtId="0" fontId="13" fillId="3" borderId="163"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6" fillId="26" borderId="21" xfId="0" applyFont="1" applyFill="1" applyBorder="1" applyAlignment="1" applyProtection="1">
      <alignment horizontal="center" vertical="center" wrapText="1"/>
      <protection locked="0"/>
    </xf>
    <xf numFmtId="0" fontId="6" fillId="26" borderId="19" xfId="0" applyFont="1" applyFill="1" applyBorder="1" applyAlignment="1" applyProtection="1">
      <alignment horizontal="center" vertical="center" wrapText="1"/>
      <protection locked="0"/>
    </xf>
    <xf numFmtId="49" fontId="9" fillId="0" borderId="144" xfId="0" applyNumberFormat="1" applyFont="1" applyBorder="1" applyAlignment="1">
      <alignment horizontal="center" vertical="center"/>
    </xf>
    <xf numFmtId="49" fontId="9" fillId="0" borderId="84" xfId="0" applyNumberFormat="1" applyFont="1" applyBorder="1" applyAlignment="1">
      <alignment horizontal="center" vertical="center"/>
    </xf>
    <xf numFmtId="0" fontId="114" fillId="6" borderId="40" xfId="0" applyFont="1" applyFill="1" applyBorder="1" applyAlignment="1">
      <alignment horizontal="center" vertical="center" wrapText="1"/>
    </xf>
    <xf numFmtId="0" fontId="114" fillId="6" borderId="19" xfId="0" applyFont="1" applyFill="1" applyBorder="1" applyAlignment="1">
      <alignment horizontal="center" vertical="center" wrapText="1"/>
    </xf>
    <xf numFmtId="0" fontId="313" fillId="26" borderId="21" xfId="0" applyFont="1" applyFill="1" applyBorder="1" applyAlignment="1">
      <alignment horizontal="center" vertical="center"/>
    </xf>
    <xf numFmtId="0" fontId="313" fillId="26" borderId="19" xfId="0" applyFont="1" applyFill="1" applyBorder="1" applyAlignment="1">
      <alignment horizontal="center" vertical="center"/>
    </xf>
    <xf numFmtId="0" fontId="313" fillId="26" borderId="10" xfId="0" applyFont="1" applyFill="1" applyBorder="1" applyAlignment="1">
      <alignment horizontal="center" vertical="center"/>
    </xf>
    <xf numFmtId="0" fontId="313" fillId="26" borderId="12" xfId="0" applyFont="1" applyFill="1" applyBorder="1" applyAlignment="1">
      <alignment horizontal="center" vertical="center"/>
    </xf>
    <xf numFmtId="0" fontId="115" fillId="8" borderId="129" xfId="0" applyFont="1" applyFill="1" applyBorder="1" applyAlignment="1">
      <alignment horizontal="center" vertical="center"/>
    </xf>
    <xf numFmtId="0" fontId="115" fillId="8" borderId="45" xfId="0" applyFont="1" applyFill="1" applyBorder="1" applyAlignment="1">
      <alignment horizontal="center" vertical="center"/>
    </xf>
    <xf numFmtId="0" fontId="115" fillId="8" borderId="94" xfId="0" applyFont="1" applyFill="1" applyBorder="1" applyAlignment="1">
      <alignment horizontal="center" vertical="center"/>
    </xf>
    <xf numFmtId="0" fontId="115" fillId="8" borderId="44" xfId="0" applyFont="1" applyFill="1" applyBorder="1" applyAlignment="1">
      <alignment horizontal="center" vertical="center"/>
    </xf>
    <xf numFmtId="0" fontId="115" fillId="8" borderId="24" xfId="0" applyFont="1" applyFill="1" applyBorder="1" applyAlignment="1">
      <alignment horizontal="center" vertical="center"/>
    </xf>
    <xf numFmtId="0" fontId="115" fillId="8" borderId="22" xfId="0" applyFont="1" applyFill="1" applyBorder="1" applyAlignment="1">
      <alignment horizontal="center" vertical="center"/>
    </xf>
    <xf numFmtId="2" fontId="122" fillId="0" borderId="9" xfId="0" applyNumberFormat="1" applyFont="1" applyBorder="1" applyAlignment="1">
      <alignment horizontal="center" vertical="center"/>
    </xf>
    <xf numFmtId="2" fontId="122" fillId="0" borderId="11" xfId="0" applyNumberFormat="1" applyFont="1" applyBorder="1" applyAlignment="1">
      <alignment horizontal="center" vertical="center"/>
    </xf>
    <xf numFmtId="0" fontId="122" fillId="0" borderId="10" xfId="0" applyFont="1" applyBorder="1" applyAlignment="1">
      <alignment horizontal="center" vertical="center" wrapText="1"/>
    </xf>
    <xf numFmtId="0" fontId="122" fillId="0" borderId="12" xfId="0" applyFont="1" applyBorder="1" applyAlignment="1">
      <alignment horizontal="center" vertical="center" wrapText="1"/>
    </xf>
    <xf numFmtId="0" fontId="122" fillId="0" borderId="9" xfId="0" applyFont="1" applyBorder="1" applyAlignment="1">
      <alignment horizontal="center" vertical="center" wrapText="1"/>
    </xf>
    <xf numFmtId="0" fontId="122" fillId="0" borderId="11" xfId="0" applyFont="1" applyBorder="1" applyAlignment="1">
      <alignment horizontal="center" vertical="center" wrapText="1"/>
    </xf>
    <xf numFmtId="2" fontId="122" fillId="0" borderId="21" xfId="0" applyNumberFormat="1" applyFont="1" applyBorder="1" applyAlignment="1">
      <alignment horizontal="center"/>
    </xf>
    <xf numFmtId="2" fontId="122" fillId="0" borderId="19" xfId="0" applyNumberFormat="1" applyFont="1" applyBorder="1" applyAlignment="1">
      <alignment horizontal="center"/>
    </xf>
    <xf numFmtId="0" fontId="313" fillId="26" borderId="9" xfId="0" applyFont="1" applyFill="1" applyBorder="1" applyAlignment="1">
      <alignment horizontal="center" vertical="center"/>
    </xf>
    <xf numFmtId="0" fontId="313" fillId="26" borderId="11" xfId="0" applyFont="1" applyFill="1" applyBorder="1" applyAlignment="1">
      <alignment horizontal="center" vertical="center"/>
    </xf>
    <xf numFmtId="0" fontId="0" fillId="0" borderId="69" xfId="0" applyBorder="1" applyAlignment="1">
      <alignment horizontal="center" vertical="center"/>
    </xf>
    <xf numFmtId="0" fontId="0" fillId="0" borderId="64" xfId="0" applyBorder="1" applyAlignment="1">
      <alignment horizontal="center" vertical="center"/>
    </xf>
    <xf numFmtId="0" fontId="0" fillId="0" borderId="70" xfId="0" applyBorder="1" applyAlignment="1">
      <alignment horizontal="center" vertical="center"/>
    </xf>
    <xf numFmtId="0" fontId="68" fillId="26" borderId="42" xfId="0" applyFont="1" applyFill="1" applyBorder="1" applyAlignment="1" applyProtection="1">
      <alignment horizontal="center" vertical="center" wrapText="1"/>
      <protection locked="0"/>
    </xf>
    <xf numFmtId="0" fontId="68" fillId="26" borderId="21" xfId="0" applyFont="1" applyFill="1" applyBorder="1" applyAlignment="1" applyProtection="1">
      <alignment horizontal="center" vertical="center" wrapText="1"/>
      <protection locked="0"/>
    </xf>
    <xf numFmtId="0" fontId="68" fillId="26" borderId="19" xfId="0" applyFont="1" applyFill="1" applyBorder="1" applyAlignment="1" applyProtection="1">
      <alignment horizontal="center" vertical="center" wrapText="1"/>
      <protection locked="0"/>
    </xf>
    <xf numFmtId="1" fontId="68" fillId="26" borderId="10" xfId="0" applyNumberFormat="1" applyFont="1" applyFill="1" applyBorder="1" applyAlignment="1" applyProtection="1">
      <alignment horizontal="center" vertical="center" wrapText="1"/>
      <protection locked="0"/>
    </xf>
    <xf numFmtId="1" fontId="68" fillId="26" borderId="12" xfId="0" applyNumberFormat="1" applyFont="1" applyFill="1" applyBorder="1" applyAlignment="1" applyProtection="1">
      <alignment horizontal="center" vertical="center" wrapText="1"/>
      <protection locked="0"/>
    </xf>
    <xf numFmtId="0" fontId="68" fillId="26" borderId="5" xfId="0" applyFont="1" applyFill="1" applyBorder="1" applyAlignment="1" applyProtection="1">
      <alignment horizontal="center" vertical="center" wrapText="1"/>
      <protection locked="0"/>
    </xf>
    <xf numFmtId="0" fontId="16" fillId="0" borderId="129" xfId="0" applyFont="1" applyBorder="1" applyAlignment="1">
      <alignment vertical="center" wrapText="1"/>
    </xf>
    <xf numFmtId="0" fontId="16" fillId="0" borderId="43" xfId="0" applyFont="1" applyBorder="1" applyAlignment="1">
      <alignment vertical="center" wrapText="1"/>
    </xf>
    <xf numFmtId="0" fontId="50" fillId="0" borderId="135" xfId="0" applyFont="1" applyBorder="1" applyAlignment="1">
      <alignment vertical="center" wrapText="1"/>
    </xf>
    <xf numFmtId="0" fontId="50" fillId="0" borderId="137" xfId="0" applyFont="1" applyBorder="1" applyAlignment="1">
      <alignment vertical="center" wrapText="1"/>
    </xf>
    <xf numFmtId="0" fontId="9" fillId="4" borderId="152" xfId="0" applyFont="1" applyFill="1" applyBorder="1" applyAlignment="1">
      <alignment horizontal="center" vertical="center"/>
    </xf>
    <xf numFmtId="0" fontId="34" fillId="4" borderId="150" xfId="0" applyFont="1" applyFill="1" applyBorder="1" applyAlignment="1">
      <alignment horizontal="center" vertical="center"/>
    </xf>
    <xf numFmtId="0" fontId="68" fillId="26" borderId="3" xfId="0" applyFont="1" applyFill="1" applyBorder="1" applyAlignment="1" applyProtection="1">
      <alignment horizontal="center" vertical="center" wrapText="1"/>
      <protection locked="0"/>
    </xf>
    <xf numFmtId="0" fontId="284" fillId="26" borderId="69" xfId="0" applyFont="1" applyFill="1" applyBorder="1" applyAlignment="1" applyProtection="1">
      <alignment horizontal="center" vertical="center"/>
      <protection hidden="1"/>
    </xf>
    <xf numFmtId="0" fontId="284" fillId="26" borderId="64" xfId="0" applyFont="1" applyFill="1" applyBorder="1" applyAlignment="1" applyProtection="1">
      <alignment horizontal="center" vertical="center"/>
      <protection hidden="1"/>
    </xf>
    <xf numFmtId="0" fontId="16" fillId="0" borderId="134" xfId="0" applyFont="1" applyBorder="1" applyAlignment="1">
      <alignment horizontal="center" vertical="center" wrapText="1"/>
    </xf>
    <xf numFmtId="0" fontId="16" fillId="0" borderId="138"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6" xfId="0" applyFont="1" applyBorder="1" applyAlignment="1">
      <alignment horizontal="center" vertical="center" wrapText="1"/>
    </xf>
    <xf numFmtId="0" fontId="62" fillId="0" borderId="69" xfId="1" applyFont="1" applyBorder="1" applyAlignment="1" applyProtection="1">
      <alignment horizontal="center" vertical="center"/>
    </xf>
    <xf numFmtId="0" fontId="62" fillId="0" borderId="64" xfId="1" applyFont="1" applyBorder="1" applyAlignment="1" applyProtection="1">
      <alignment horizontal="center" vertical="center"/>
    </xf>
    <xf numFmtId="0" fontId="62" fillId="0" borderId="70" xfId="1" applyFont="1" applyBorder="1" applyAlignment="1" applyProtection="1">
      <alignment horizontal="center" vertical="center"/>
    </xf>
    <xf numFmtId="0" fontId="16" fillId="0" borderId="138" xfId="0" applyFont="1" applyBorder="1" applyAlignment="1">
      <alignment horizontal="right" vertical="center" wrapText="1"/>
    </xf>
    <xf numFmtId="0" fontId="16" fillId="0" borderId="6" xfId="0" applyFont="1" applyBorder="1" applyAlignment="1">
      <alignment horizontal="right" vertical="center" wrapText="1"/>
    </xf>
    <xf numFmtId="0" fontId="16" fillId="0" borderId="27" xfId="0" applyFont="1" applyBorder="1" applyAlignment="1">
      <alignment horizontal="center" vertical="center" wrapText="1"/>
    </xf>
    <xf numFmtId="0" fontId="16" fillId="0" borderId="25" xfId="0" applyFont="1" applyBorder="1" applyAlignment="1">
      <alignment horizontal="center" vertical="center" wrapText="1"/>
    </xf>
    <xf numFmtId="1" fontId="68" fillId="26" borderId="9" xfId="0" applyNumberFormat="1" applyFont="1" applyFill="1" applyBorder="1" applyAlignment="1" applyProtection="1">
      <alignment horizontal="center" vertical="center" wrapText="1"/>
      <protection locked="0"/>
    </xf>
    <xf numFmtId="1" fontId="68" fillId="26" borderId="11" xfId="0" applyNumberFormat="1" applyFont="1" applyFill="1" applyBorder="1" applyAlignment="1" applyProtection="1">
      <alignment horizontal="center" vertical="center" wrapText="1"/>
      <protection locked="0"/>
    </xf>
    <xf numFmtId="0" fontId="109" fillId="0" borderId="0" xfId="0" applyFont="1" applyAlignment="1">
      <alignment vertical="center"/>
    </xf>
    <xf numFmtId="166" fontId="68" fillId="0" borderId="10" xfId="0" applyNumberFormat="1" applyFont="1" applyBorder="1" applyAlignment="1" applyProtection="1">
      <alignment horizontal="center" vertical="center" wrapText="1"/>
      <protection locked="0"/>
    </xf>
    <xf numFmtId="166" fontId="68" fillId="0" borderId="34" xfId="0" applyNumberFormat="1" applyFont="1" applyBorder="1" applyAlignment="1" applyProtection="1">
      <alignment horizontal="center" vertical="center" wrapText="1"/>
      <protection locked="0"/>
    </xf>
    <xf numFmtId="0" fontId="308" fillId="26" borderId="10" xfId="0" applyFont="1" applyFill="1" applyBorder="1" applyAlignment="1" applyProtection="1">
      <alignment horizontal="center" vertical="center" wrapText="1"/>
      <protection locked="0"/>
    </xf>
    <xf numFmtId="0" fontId="91" fillId="0" borderId="140" xfId="0" applyFont="1" applyBorder="1" applyAlignment="1">
      <alignment vertical="center" wrapText="1"/>
    </xf>
    <xf numFmtId="0" fontId="91" fillId="0" borderId="2" xfId="0" applyFont="1" applyBorder="1" applyAlignment="1">
      <alignment vertical="center" wrapText="1"/>
    </xf>
    <xf numFmtId="0" fontId="53" fillId="4" borderId="24" xfId="0" applyFont="1" applyFill="1" applyBorder="1" applyAlignment="1">
      <alignment horizontal="right" wrapText="1"/>
    </xf>
    <xf numFmtId="0" fontId="53" fillId="4" borderId="22" xfId="0" applyFont="1" applyFill="1" applyBorder="1" applyAlignment="1">
      <alignment horizontal="right" wrapText="1"/>
    </xf>
    <xf numFmtId="0" fontId="50" fillId="0" borderId="72" xfId="0" applyFont="1" applyBorder="1" applyAlignment="1">
      <alignment horizontal="left" vertical="center" wrapText="1"/>
    </xf>
    <xf numFmtId="0" fontId="9" fillId="0" borderId="30" xfId="0" applyFont="1" applyBorder="1" applyAlignment="1">
      <alignment vertical="center" wrapText="1"/>
    </xf>
    <xf numFmtId="0" fontId="9" fillId="0" borderId="2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 fillId="4" borderId="104" xfId="0" applyFont="1" applyFill="1" applyBorder="1" applyAlignment="1">
      <alignment vertical="center" wrapText="1"/>
    </xf>
    <xf numFmtId="0" fontId="2" fillId="4" borderId="105" xfId="0" applyFont="1" applyFill="1" applyBorder="1" applyAlignment="1">
      <alignment vertical="center" wrapText="1"/>
    </xf>
    <xf numFmtId="0" fontId="38" fillId="3" borderId="124" xfId="0" applyFont="1" applyFill="1" applyBorder="1" applyAlignment="1">
      <alignment vertical="center" wrapText="1"/>
    </xf>
    <xf numFmtId="0" fontId="38" fillId="3" borderId="148" xfId="0" applyFont="1" applyFill="1" applyBorder="1" applyAlignment="1">
      <alignment vertical="center" wrapText="1"/>
    </xf>
    <xf numFmtId="0" fontId="9" fillId="4" borderId="4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50" fillId="0" borderId="72" xfId="0" applyFont="1" applyBorder="1" applyAlignment="1">
      <alignment vertical="center" wrapText="1"/>
    </xf>
    <xf numFmtId="0" fontId="50" fillId="0" borderId="159" xfId="0" applyFont="1" applyBorder="1" applyAlignment="1">
      <alignment vertical="center" wrapText="1"/>
    </xf>
    <xf numFmtId="0" fontId="6" fillId="26" borderId="3" xfId="0" applyFont="1" applyFill="1" applyBorder="1" applyAlignment="1" applyProtection="1">
      <alignment horizontal="center" vertical="center" wrapText="1"/>
      <protection locked="0"/>
    </xf>
    <xf numFmtId="0" fontId="6" fillId="26" borderId="36" xfId="0" applyFont="1" applyFill="1" applyBorder="1" applyAlignment="1" applyProtection="1">
      <alignment horizontal="center" vertical="center" wrapText="1"/>
      <protection locked="0"/>
    </xf>
    <xf numFmtId="0" fontId="9" fillId="0" borderId="95" xfId="0" applyFont="1" applyBorder="1" applyAlignment="1">
      <alignment vertical="center" wrapText="1"/>
    </xf>
    <xf numFmtId="0" fontId="6" fillId="26" borderId="92" xfId="0" applyFont="1" applyFill="1" applyBorder="1" applyAlignment="1" applyProtection="1">
      <alignment horizontal="center" vertical="center" wrapText="1"/>
      <protection locked="0"/>
    </xf>
    <xf numFmtId="0" fontId="6" fillId="26" borderId="53" xfId="0" applyFont="1" applyFill="1" applyBorder="1" applyAlignment="1" applyProtection="1">
      <alignment horizontal="center" vertical="center" wrapText="1"/>
      <protection locked="0"/>
    </xf>
    <xf numFmtId="0" fontId="9" fillId="0" borderId="10" xfId="0" applyFont="1" applyBorder="1" applyAlignment="1">
      <alignment horizontal="center" vertical="center"/>
    </xf>
    <xf numFmtId="0" fontId="16" fillId="0" borderId="54" xfId="0" applyFont="1" applyBorder="1" applyAlignment="1">
      <alignment vertical="center" wrapText="1"/>
    </xf>
    <xf numFmtId="0" fontId="16" fillId="0" borderId="5" xfId="0" applyFont="1" applyBorder="1" applyAlignment="1">
      <alignment vertical="center" wrapText="1"/>
    </xf>
    <xf numFmtId="0" fontId="16" fillId="0" borderId="13" xfId="0" applyFont="1" applyBorder="1" applyAlignment="1">
      <alignment vertical="center" wrapText="1"/>
    </xf>
    <xf numFmtId="0" fontId="2" fillId="4" borderId="161" xfId="0" applyFont="1" applyFill="1" applyBorder="1" applyAlignment="1">
      <alignment vertical="center" wrapText="1"/>
    </xf>
    <xf numFmtId="0" fontId="2" fillId="4" borderId="162" xfId="0" applyFont="1" applyFill="1" applyBorder="1" applyAlignment="1">
      <alignment vertical="center" wrapText="1"/>
    </xf>
    <xf numFmtId="0" fontId="2" fillId="4" borderId="24" xfId="0" applyFont="1" applyFill="1" applyBorder="1" applyAlignment="1">
      <alignment vertical="center" wrapText="1"/>
    </xf>
    <xf numFmtId="0" fontId="2" fillId="4" borderId="22" xfId="0" applyFont="1" applyFill="1" applyBorder="1" applyAlignment="1">
      <alignment vertical="center" wrapText="1"/>
    </xf>
    <xf numFmtId="0" fontId="34" fillId="4" borderId="43" xfId="0" applyFont="1" applyFill="1" applyBorder="1" applyAlignment="1">
      <alignment horizontal="center" vertical="center"/>
    </xf>
    <xf numFmtId="0" fontId="34" fillId="4" borderId="18" xfId="0" applyFont="1" applyFill="1" applyBorder="1" applyAlignment="1">
      <alignment horizontal="center" vertical="center"/>
    </xf>
    <xf numFmtId="0" fontId="14" fillId="4" borderId="105" xfId="0" applyFont="1" applyFill="1" applyBorder="1" applyAlignment="1">
      <alignment vertical="center" wrapText="1"/>
    </xf>
    <xf numFmtId="0" fontId="6" fillId="26" borderId="73" xfId="0" applyFont="1" applyFill="1" applyBorder="1" applyAlignment="1" applyProtection="1">
      <alignment horizontal="center" vertical="center" wrapText="1"/>
      <protection locked="0"/>
    </xf>
    <xf numFmtId="0" fontId="6" fillId="26" borderId="1" xfId="0" applyFont="1" applyFill="1" applyBorder="1" applyAlignment="1" applyProtection="1">
      <alignment horizontal="center" vertical="center" wrapText="1"/>
      <protection locked="0"/>
    </xf>
    <xf numFmtId="0" fontId="9" fillId="4" borderId="23" xfId="0" applyFont="1" applyFill="1" applyBorder="1" applyAlignment="1">
      <alignment horizontal="center" vertical="center" wrapText="1"/>
    </xf>
    <xf numFmtId="0" fontId="9" fillId="0" borderId="11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23" xfId="0" applyFont="1" applyBorder="1" applyAlignment="1">
      <alignment horizontal="center" vertical="center"/>
    </xf>
    <xf numFmtId="0" fontId="9" fillId="0" borderId="42" xfId="0" applyFont="1" applyBorder="1" applyAlignment="1">
      <alignment horizontal="center" vertical="center"/>
    </xf>
    <xf numFmtId="0" fontId="9" fillId="0" borderId="11" xfId="0" applyFont="1" applyBorder="1" applyAlignment="1">
      <alignment horizontal="center" vertical="center"/>
    </xf>
    <xf numFmtId="0" fontId="9" fillId="0" borderId="120" xfId="0" applyFont="1" applyBorder="1" applyAlignment="1">
      <alignment horizontal="right" vertical="center"/>
    </xf>
    <xf numFmtId="0" fontId="9" fillId="0" borderId="6" xfId="0" applyFont="1" applyBorder="1" applyAlignment="1">
      <alignment horizontal="right" vertical="center"/>
    </xf>
    <xf numFmtId="0" fontId="9" fillId="4" borderId="152" xfId="0" applyFont="1" applyFill="1" applyBorder="1" applyAlignment="1">
      <alignment horizontal="center" wrapText="1"/>
    </xf>
    <xf numFmtId="0" fontId="9" fillId="4" borderId="153" xfId="0" applyFont="1" applyFill="1" applyBorder="1" applyAlignment="1">
      <alignment horizontal="center" wrapText="1"/>
    </xf>
    <xf numFmtId="0" fontId="9" fillId="0" borderId="42" xfId="0" applyFont="1" applyBorder="1" applyAlignment="1">
      <alignment vertical="center" wrapText="1"/>
    </xf>
    <xf numFmtId="0" fontId="6" fillId="26" borderId="7" xfId="0" applyFont="1" applyFill="1" applyBorder="1" applyAlignment="1" applyProtection="1">
      <alignment horizontal="center" vertical="center" wrapText="1"/>
      <protection locked="0"/>
    </xf>
    <xf numFmtId="0" fontId="2" fillId="3" borderId="154" xfId="0" applyFont="1" applyFill="1" applyBorder="1" applyAlignment="1">
      <alignment horizontal="center" vertical="center" wrapText="1"/>
    </xf>
    <xf numFmtId="0" fontId="2" fillId="3" borderId="125" xfId="0" applyFont="1" applyFill="1" applyBorder="1" applyAlignment="1">
      <alignment horizontal="center" vertical="center" wrapText="1"/>
    </xf>
    <xf numFmtId="0" fontId="2" fillId="3" borderId="151" xfId="0" applyFont="1" applyFill="1" applyBorder="1" applyAlignment="1">
      <alignment horizontal="center" vertical="center" wrapText="1"/>
    </xf>
    <xf numFmtId="0" fontId="22" fillId="0" borderId="75" xfId="0" applyFont="1" applyBorder="1" applyAlignment="1">
      <alignment vertical="center" wrapText="1"/>
    </xf>
    <xf numFmtId="0" fontId="22" fillId="0" borderId="160" xfId="0" applyFont="1" applyBorder="1" applyAlignment="1">
      <alignment vertical="center" wrapText="1"/>
    </xf>
    <xf numFmtId="0" fontId="22" fillId="0" borderId="50" xfId="0" applyFont="1" applyBorder="1" applyAlignment="1">
      <alignment vertical="center" wrapText="1"/>
    </xf>
    <xf numFmtId="0" fontId="2" fillId="3" borderId="146" xfId="0" applyFont="1" applyFill="1" applyBorder="1" applyAlignment="1">
      <alignment horizontal="center" vertical="center" wrapText="1"/>
    </xf>
    <xf numFmtId="0" fontId="16" fillId="0" borderId="91" xfId="0" applyFont="1" applyBorder="1" applyAlignment="1">
      <alignment horizontal="center" vertical="center" wrapText="1"/>
    </xf>
    <xf numFmtId="0" fontId="16" fillId="0" borderId="147" xfId="0" applyFont="1" applyBorder="1" applyAlignment="1">
      <alignment horizontal="center" vertical="center" wrapText="1"/>
    </xf>
    <xf numFmtId="0" fontId="308" fillId="26" borderId="134" xfId="0" applyFont="1" applyFill="1" applyBorder="1" applyAlignment="1" applyProtection="1">
      <alignment horizontal="center" vertical="center" wrapText="1"/>
      <protection locked="0"/>
    </xf>
    <xf numFmtId="0" fontId="308" fillId="26" borderId="136" xfId="0" applyFont="1" applyFill="1" applyBorder="1" applyAlignment="1" applyProtection="1">
      <alignment horizontal="center" vertical="center" wrapText="1"/>
      <protection locked="0"/>
    </xf>
    <xf numFmtId="0" fontId="308" fillId="26" borderId="48" xfId="0" applyFont="1" applyFill="1" applyBorder="1" applyAlignment="1" applyProtection="1">
      <alignment horizontal="center" vertical="center" wrapText="1"/>
      <protection locked="0"/>
    </xf>
    <xf numFmtId="0" fontId="308" fillId="26" borderId="49" xfId="0" applyFont="1" applyFill="1" applyBorder="1" applyAlignment="1" applyProtection="1">
      <alignment horizontal="center" vertical="center" wrapText="1"/>
      <protection locked="0"/>
    </xf>
    <xf numFmtId="0" fontId="308" fillId="26" borderId="14" xfId="0" applyFont="1" applyFill="1" applyBorder="1" applyAlignment="1" applyProtection="1">
      <alignment horizontal="center" vertical="center" wrapText="1"/>
      <protection locked="0"/>
    </xf>
    <xf numFmtId="0" fontId="308" fillId="26" borderId="32" xfId="0" applyFont="1" applyFill="1" applyBorder="1" applyAlignment="1" applyProtection="1">
      <alignment horizontal="center" vertical="center" wrapText="1"/>
      <protection locked="0"/>
    </xf>
    <xf numFmtId="0" fontId="6" fillId="26" borderId="111" xfId="0" applyFont="1" applyFill="1" applyBorder="1" applyAlignment="1" applyProtection="1">
      <alignment horizontal="center" vertical="center" wrapText="1"/>
      <protection locked="0"/>
    </xf>
    <xf numFmtId="0" fontId="6" fillId="26" borderId="31" xfId="0" applyFont="1" applyFill="1" applyBorder="1" applyAlignment="1" applyProtection="1">
      <alignment horizontal="center" vertical="center" wrapText="1"/>
      <protection locked="0"/>
    </xf>
    <xf numFmtId="0" fontId="3" fillId="4" borderId="152" xfId="0" applyFont="1" applyFill="1" applyBorder="1" applyAlignment="1">
      <alignment horizontal="center" vertical="center" wrapText="1"/>
    </xf>
    <xf numFmtId="0" fontId="3" fillId="4" borderId="150" xfId="0" applyFont="1" applyFill="1" applyBorder="1" applyAlignment="1">
      <alignment horizontal="center" vertical="center" wrapText="1"/>
    </xf>
    <xf numFmtId="177" fontId="68" fillId="0" borderId="21" xfId="0" applyNumberFormat="1" applyFont="1" applyBorder="1" applyAlignment="1" applyProtection="1">
      <alignment horizontal="center" vertical="center" wrapText="1"/>
      <protection locked="0"/>
    </xf>
    <xf numFmtId="177" fontId="68" fillId="0" borderId="36" xfId="0" applyNumberFormat="1" applyFont="1" applyBorder="1" applyAlignment="1" applyProtection="1">
      <alignment horizontal="center" vertical="center" wrapText="1"/>
      <protection locked="0"/>
    </xf>
    <xf numFmtId="165" fontId="68" fillId="0" borderId="62" xfId="0" applyNumberFormat="1" applyFont="1" applyBorder="1" applyAlignment="1" applyProtection="1">
      <alignment horizontal="center" vertical="center" wrapText="1"/>
      <protection locked="0"/>
    </xf>
    <xf numFmtId="165" fontId="68" fillId="0" borderId="118" xfId="0" applyNumberFormat="1" applyFont="1" applyBorder="1" applyAlignment="1" applyProtection="1">
      <alignment horizontal="center" vertical="center" wrapText="1"/>
      <protection locked="0"/>
    </xf>
    <xf numFmtId="0" fontId="16" fillId="4" borderId="9"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45" fillId="0" borderId="38" xfId="0" applyFont="1" applyBorder="1" applyAlignment="1">
      <alignment vertical="center"/>
    </xf>
    <xf numFmtId="0" fontId="45" fillId="0" borderId="66" xfId="0" applyFont="1" applyBorder="1" applyAlignment="1">
      <alignment vertical="center"/>
    </xf>
    <xf numFmtId="0" fontId="45" fillId="0" borderId="126" xfId="0" applyFont="1" applyBorder="1" applyAlignment="1">
      <alignment vertical="center"/>
    </xf>
    <xf numFmtId="0" fontId="68" fillId="26" borderId="92" xfId="0" applyFont="1" applyFill="1" applyBorder="1" applyAlignment="1" applyProtection="1">
      <alignment horizontal="center" vertical="center" wrapText="1"/>
      <protection locked="0"/>
    </xf>
    <xf numFmtId="0" fontId="68" fillId="26" borderId="53" xfId="0" applyFont="1" applyFill="1" applyBorder="1" applyAlignment="1" applyProtection="1">
      <alignment horizontal="center" vertical="center" wrapText="1"/>
      <protection locked="0"/>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68" fillId="26" borderId="54" xfId="0" applyFont="1" applyFill="1" applyBorder="1" applyAlignment="1" applyProtection="1">
      <alignment horizontal="center" vertical="center"/>
      <protection locked="0"/>
    </xf>
    <xf numFmtId="0" fontId="68" fillId="26" borderId="12" xfId="0" applyFont="1" applyFill="1" applyBorder="1" applyAlignment="1" applyProtection="1">
      <alignment horizontal="center" vertical="center"/>
      <protection locked="0"/>
    </xf>
    <xf numFmtId="0" fontId="17" fillId="4" borderId="24"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 fillId="3" borderId="124" xfId="0" applyFont="1" applyFill="1" applyBorder="1" applyAlignment="1">
      <alignment horizontal="center" vertical="center" wrapText="1"/>
    </xf>
    <xf numFmtId="0" fontId="52" fillId="0" borderId="62" xfId="0" applyFont="1" applyBorder="1" applyAlignment="1">
      <alignment vertical="center" wrapText="1"/>
    </xf>
    <xf numFmtId="0" fontId="52" fillId="0" borderId="114" xfId="0" applyFont="1" applyBorder="1" applyAlignment="1">
      <alignment vertical="center" wrapText="1"/>
    </xf>
    <xf numFmtId="0" fontId="52" fillId="0" borderId="118" xfId="0" applyFont="1" applyBorder="1" applyAlignment="1">
      <alignment vertical="center" wrapText="1"/>
    </xf>
    <xf numFmtId="0" fontId="52" fillId="0" borderId="14" xfId="0" applyFont="1" applyBorder="1" applyAlignment="1">
      <alignment vertical="center" wrapText="1"/>
    </xf>
    <xf numFmtId="0" fontId="52" fillId="0" borderId="16" xfId="0" applyFont="1" applyBorder="1" applyAlignment="1">
      <alignment vertical="center" wrapText="1"/>
    </xf>
    <xf numFmtId="0" fontId="52" fillId="0" borderId="32" xfId="0" applyFont="1" applyBorder="1" applyAlignment="1">
      <alignment vertical="center" wrapText="1"/>
    </xf>
    <xf numFmtId="171" fontId="9" fillId="0" borderId="10" xfId="0" applyNumberFormat="1" applyFont="1" applyBorder="1" applyAlignment="1" applyProtection="1">
      <alignment horizontal="center" vertical="center" wrapText="1"/>
      <protection locked="0"/>
    </xf>
    <xf numFmtId="171" fontId="9" fillId="0" borderId="34" xfId="0" applyNumberFormat="1" applyFont="1" applyBorder="1" applyAlignment="1" applyProtection="1">
      <alignment horizontal="center" vertical="center" wrapText="1"/>
      <protection locked="0"/>
    </xf>
    <xf numFmtId="0" fontId="13" fillId="3" borderId="124" xfId="0" applyFont="1" applyFill="1" applyBorder="1" applyAlignment="1">
      <alignment vertical="center"/>
    </xf>
    <xf numFmtId="0" fontId="13" fillId="3" borderId="148" xfId="0" applyFont="1" applyFill="1" applyBorder="1" applyAlignment="1">
      <alignment vertical="center"/>
    </xf>
    <xf numFmtId="0" fontId="9" fillId="0" borderId="12" xfId="0" applyFont="1" applyBorder="1" applyAlignment="1">
      <alignment horizontal="center" vertical="center" wrapText="1"/>
    </xf>
    <xf numFmtId="0" fontId="9" fillId="0" borderId="120" xfId="0" applyFont="1" applyBorder="1" applyAlignment="1">
      <alignment horizontal="center" vertical="center" wrapText="1"/>
    </xf>
    <xf numFmtId="0" fontId="9" fillId="0" borderId="53" xfId="0" applyFont="1" applyBorder="1" applyAlignment="1">
      <alignment horizontal="center" vertical="center" wrapText="1"/>
    </xf>
    <xf numFmtId="0" fontId="52" fillId="0" borderId="21" xfId="0" applyFont="1" applyBorder="1" applyAlignment="1">
      <alignment vertical="center" wrapText="1"/>
    </xf>
    <xf numFmtId="0" fontId="52" fillId="0" borderId="3" xfId="0" applyFont="1" applyBorder="1" applyAlignment="1">
      <alignment vertical="center" wrapText="1"/>
    </xf>
    <xf numFmtId="0" fontId="52" fillId="0" borderId="36" xfId="0" applyFont="1" applyBorder="1" applyAlignment="1">
      <alignment vertical="center" wrapText="1"/>
    </xf>
    <xf numFmtId="0" fontId="9" fillId="0" borderId="122" xfId="0" applyFont="1" applyBorder="1" applyAlignment="1">
      <alignment horizontal="left" vertical="center" wrapText="1"/>
    </xf>
    <xf numFmtId="0" fontId="9" fillId="0" borderId="127" xfId="0" applyFont="1" applyBorder="1" applyAlignment="1">
      <alignment horizontal="left" vertical="center" wrapText="1"/>
    </xf>
    <xf numFmtId="0" fontId="45" fillId="0" borderId="62" xfId="0" applyFont="1" applyBorder="1" applyAlignment="1">
      <alignment horizontal="left" vertical="center" wrapText="1"/>
    </xf>
    <xf numFmtId="0" fontId="45" fillId="0" borderId="114" xfId="0" applyFont="1" applyBorder="1" applyAlignment="1">
      <alignment horizontal="left" vertical="center" wrapText="1"/>
    </xf>
    <xf numFmtId="0" fontId="45" fillId="0" borderId="118" xfId="0" applyFont="1" applyBorder="1" applyAlignment="1">
      <alignment horizontal="left" vertical="center" wrapText="1"/>
    </xf>
    <xf numFmtId="0" fontId="45" fillId="0" borderId="14" xfId="0" applyFont="1" applyBorder="1" applyAlignment="1">
      <alignment horizontal="left" vertical="center" wrapText="1"/>
    </xf>
    <xf numFmtId="0" fontId="45" fillId="0" borderId="16" xfId="0" applyFont="1" applyBorder="1" applyAlignment="1">
      <alignment horizontal="left" vertical="center" wrapText="1"/>
    </xf>
    <xf numFmtId="0" fontId="45" fillId="0" borderId="32" xfId="0" applyFont="1" applyBorder="1" applyAlignment="1">
      <alignment horizontal="left" vertical="center" wrapText="1"/>
    </xf>
    <xf numFmtId="171" fontId="12" fillId="0" borderId="10" xfId="0" applyNumberFormat="1" applyFont="1" applyBorder="1" applyAlignment="1" applyProtection="1">
      <alignment horizontal="center" vertical="center" wrapText="1"/>
      <protection locked="0"/>
    </xf>
    <xf numFmtId="171" fontId="12" fillId="0" borderId="34" xfId="0" applyNumberFormat="1" applyFont="1" applyBorder="1" applyAlignment="1" applyProtection="1">
      <alignment horizontal="center" vertical="center" wrapText="1"/>
      <protection locked="0"/>
    </xf>
    <xf numFmtId="171" fontId="9" fillId="0" borderId="38" xfId="0" applyNumberFormat="1" applyFont="1" applyBorder="1" applyAlignment="1" applyProtection="1">
      <alignment horizontal="center" vertical="center" wrapText="1"/>
      <protection locked="0"/>
    </xf>
    <xf numFmtId="171" fontId="9" fillId="0" borderId="126" xfId="0" applyNumberFormat="1" applyFont="1" applyBorder="1" applyAlignment="1" applyProtection="1">
      <alignment horizontal="center" vertical="center" wrapText="1"/>
      <protection locked="0"/>
    </xf>
    <xf numFmtId="0" fontId="9" fillId="0" borderId="40" xfId="0" applyFont="1" applyBorder="1" applyAlignment="1">
      <alignment vertical="center" wrapText="1"/>
    </xf>
    <xf numFmtId="0" fontId="68" fillId="26" borderId="40" xfId="0" applyFont="1" applyFill="1" applyBorder="1" applyAlignment="1" applyProtection="1">
      <alignment horizontal="center" vertical="center" wrapText="1"/>
      <protection locked="0"/>
    </xf>
    <xf numFmtId="0" fontId="46" fillId="0" borderId="56" xfId="0" applyFont="1" applyBorder="1" applyAlignment="1">
      <alignment vertical="center" wrapText="1"/>
    </xf>
    <xf numFmtId="0" fontId="46" fillId="0" borderId="68" xfId="0" applyFont="1" applyBorder="1" applyAlignment="1">
      <alignment vertical="center" wrapText="1"/>
    </xf>
    <xf numFmtId="0" fontId="22" fillId="4" borderId="42"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9" fillId="0" borderId="45" xfId="0" applyFont="1" applyBorder="1" applyAlignment="1">
      <alignment horizontal="center" vertical="center" wrapText="1"/>
    </xf>
    <xf numFmtId="0" fontId="9" fillId="0" borderId="0" xfId="0" applyFont="1" applyAlignment="1">
      <alignment horizontal="center" vertical="center" wrapText="1"/>
    </xf>
    <xf numFmtId="0" fontId="9" fillId="0" borderId="24"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159" xfId="0" applyFont="1" applyBorder="1" applyAlignment="1">
      <alignment horizontal="center" vertical="center" wrapText="1"/>
    </xf>
    <xf numFmtId="0" fontId="16" fillId="4" borderId="104" xfId="0" applyFont="1" applyFill="1" applyBorder="1" applyAlignment="1">
      <alignment horizontal="center" vertical="center" wrapText="1"/>
    </xf>
    <xf numFmtId="0" fontId="16" fillId="4" borderId="105" xfId="0" applyFont="1" applyFill="1" applyBorder="1" applyAlignment="1">
      <alignment horizontal="center" vertical="center" wrapText="1"/>
    </xf>
    <xf numFmtId="0" fontId="68" fillId="26" borderId="44" xfId="0" applyFont="1" applyFill="1" applyBorder="1" applyAlignment="1" applyProtection="1">
      <alignment horizontal="center" vertical="center" wrapText="1"/>
      <protection locked="0"/>
    </xf>
    <xf numFmtId="0" fontId="68" fillId="26" borderId="24" xfId="0" applyFont="1" applyFill="1" applyBorder="1" applyAlignment="1" applyProtection="1">
      <alignment horizontal="center" vertical="center" wrapText="1"/>
      <protection locked="0"/>
    </xf>
    <xf numFmtId="0" fontId="16" fillId="4" borderId="150" xfId="0" applyFont="1" applyFill="1" applyBorder="1" applyAlignment="1">
      <alignment horizontal="center" vertical="center" wrapText="1"/>
    </xf>
    <xf numFmtId="0" fontId="16" fillId="0" borderId="135" xfId="0" applyFont="1" applyBorder="1" applyAlignment="1">
      <alignment horizontal="center" vertical="center" wrapText="1"/>
    </xf>
    <xf numFmtId="0" fontId="16" fillId="0" borderId="141" xfId="0" applyFont="1" applyBorder="1" applyAlignment="1">
      <alignment horizontal="center" vertical="center" wrapText="1"/>
    </xf>
    <xf numFmtId="0" fontId="9" fillId="0" borderId="134" xfId="0" applyFont="1" applyBorder="1" applyAlignment="1">
      <alignment horizontal="center" vertical="center" wrapText="1"/>
    </xf>
    <xf numFmtId="0" fontId="9" fillId="0" borderId="136"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16" fillId="0" borderId="122" xfId="0" applyFont="1" applyBorder="1" applyAlignment="1">
      <alignment vertical="center"/>
    </xf>
    <xf numFmtId="0" fontId="16" fillId="0" borderId="127" xfId="0" applyFont="1" applyBorder="1" applyAlignment="1">
      <alignment vertical="center"/>
    </xf>
    <xf numFmtId="0" fontId="9" fillId="0" borderId="135" xfId="0" applyFont="1" applyBorder="1" applyAlignment="1">
      <alignment horizontal="center" vertical="center" wrapText="1"/>
    </xf>
    <xf numFmtId="0" fontId="2" fillId="4" borderId="25" xfId="0" applyFont="1" applyFill="1" applyBorder="1" applyAlignment="1">
      <alignment vertical="center" wrapText="1"/>
    </xf>
    <xf numFmtId="0" fontId="9" fillId="0" borderId="4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9" xfId="0" applyFont="1" applyBorder="1" applyAlignment="1">
      <alignment vertical="center" wrapText="1"/>
    </xf>
    <xf numFmtId="0" fontId="9" fillId="0" borderId="81" xfId="0" applyFont="1" applyBorder="1" applyAlignment="1">
      <alignment vertical="center" wrapText="1"/>
    </xf>
    <xf numFmtId="0" fontId="14" fillId="4" borderId="153" xfId="0" applyFont="1" applyFill="1" applyBorder="1" applyAlignment="1">
      <alignment vertical="center" wrapText="1"/>
    </xf>
    <xf numFmtId="0" fontId="16" fillId="0" borderId="40" xfId="0" applyFont="1" applyBorder="1" applyAlignment="1">
      <alignment vertical="center" wrapText="1"/>
    </xf>
    <xf numFmtId="0" fontId="16" fillId="0" borderId="3" xfId="0" applyFont="1" applyBorder="1" applyAlignment="1">
      <alignment vertical="center" wrapText="1"/>
    </xf>
    <xf numFmtId="0" fontId="16" fillId="4" borderId="149" xfId="0" applyFont="1" applyFill="1" applyBorder="1" applyAlignment="1">
      <alignment horizontal="center" vertical="center" wrapText="1"/>
    </xf>
    <xf numFmtId="0" fontId="9" fillId="0" borderId="158" xfId="0" applyFont="1" applyBorder="1" applyAlignment="1">
      <alignment horizontal="center" vertical="center" wrapText="1"/>
    </xf>
    <xf numFmtId="0" fontId="9" fillId="0" borderId="141" xfId="0" applyFont="1" applyBorder="1" applyAlignment="1">
      <alignment horizontal="center" vertical="center" wrapText="1"/>
    </xf>
    <xf numFmtId="0" fontId="16" fillId="0" borderId="136"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5" xfId="0" applyFont="1" applyBorder="1" applyAlignment="1">
      <alignment horizontal="center" vertical="center" wrapText="1"/>
    </xf>
    <xf numFmtId="0" fontId="9" fillId="6" borderId="41"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9" xfId="0" applyFont="1" applyFill="1" applyBorder="1" applyAlignment="1">
      <alignment horizontal="center" vertical="center"/>
    </xf>
    <xf numFmtId="0" fontId="2" fillId="6" borderId="43"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8" xfId="0" applyFont="1" applyFill="1" applyBorder="1" applyAlignment="1">
      <alignment horizontal="center" vertical="center"/>
    </xf>
    <xf numFmtId="0" fontId="9" fillId="6" borderId="44" xfId="0" applyFont="1" applyFill="1" applyBorder="1" applyAlignment="1">
      <alignment horizontal="center" vertical="center"/>
    </xf>
    <xf numFmtId="0" fontId="9" fillId="6" borderId="24"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22" xfId="0" applyFont="1" applyFill="1" applyBorder="1" applyAlignment="1">
      <alignment horizontal="center" vertical="center"/>
    </xf>
    <xf numFmtId="0" fontId="59" fillId="26" borderId="24" xfId="0" applyFont="1" applyFill="1" applyBorder="1" applyAlignment="1" applyProtection="1">
      <alignment horizontal="center" vertical="center" wrapText="1"/>
      <protection locked="0"/>
    </xf>
    <xf numFmtId="0" fontId="59" fillId="26" borderId="35" xfId="0" applyFont="1" applyFill="1" applyBorder="1" applyAlignment="1" applyProtection="1">
      <alignment horizontal="center" vertical="center" wrapText="1"/>
      <protection locked="0"/>
    </xf>
    <xf numFmtId="165" fontId="68" fillId="0" borderId="10" xfId="0" applyNumberFormat="1" applyFont="1" applyBorder="1" applyAlignment="1" applyProtection="1">
      <alignment horizontal="center" vertical="center" wrapText="1"/>
      <protection locked="0"/>
    </xf>
    <xf numFmtId="165" fontId="68" fillId="0" borderId="34" xfId="0" applyNumberFormat="1" applyFont="1" applyBorder="1" applyAlignment="1" applyProtection="1">
      <alignment horizontal="center" vertical="center" wrapText="1"/>
      <protection locked="0"/>
    </xf>
    <xf numFmtId="2" fontId="68" fillId="0" borderId="10" xfId="0" applyNumberFormat="1" applyFont="1" applyBorder="1" applyAlignment="1" applyProtection="1">
      <alignment horizontal="center" vertical="center" wrapText="1"/>
      <protection locked="0"/>
    </xf>
    <xf numFmtId="2" fontId="68" fillId="0" borderId="34" xfId="0" applyNumberFormat="1" applyFont="1" applyBorder="1" applyAlignment="1" applyProtection="1">
      <alignment horizontal="center" vertical="center" wrapText="1"/>
      <protection locked="0"/>
    </xf>
    <xf numFmtId="0" fontId="2" fillId="0" borderId="0" xfId="0" applyFont="1" applyAlignment="1">
      <alignment horizontal="left" vertical="center"/>
    </xf>
    <xf numFmtId="0" fontId="61" fillId="4" borderId="150" xfId="0" applyFont="1" applyFill="1" applyBorder="1" applyAlignment="1">
      <alignment horizontal="center" vertical="center" wrapText="1"/>
    </xf>
    <xf numFmtId="0" fontId="61" fillId="4" borderId="149" xfId="0" applyFont="1" applyFill="1" applyBorder="1" applyAlignment="1">
      <alignment horizontal="center" vertical="center" wrapText="1"/>
    </xf>
    <xf numFmtId="165" fontId="68" fillId="0" borderId="8" xfId="0" applyNumberFormat="1" applyFont="1" applyBorder="1" applyAlignment="1" applyProtection="1">
      <alignment horizontal="center" vertical="center" wrapText="1"/>
      <protection locked="0"/>
    </xf>
    <xf numFmtId="165" fontId="68" fillId="0" borderId="33" xfId="0" applyNumberFormat="1"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9" fillId="4" borderId="104" xfId="0" applyFont="1" applyFill="1" applyBorder="1" applyAlignment="1">
      <alignment horizontal="center" vertical="center" wrapText="1"/>
    </xf>
    <xf numFmtId="0" fontId="9" fillId="4" borderId="150"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37" xfId="0" applyFont="1" applyFill="1" applyBorder="1" applyAlignment="1">
      <alignment horizontal="center" vertical="center"/>
    </xf>
    <xf numFmtId="0" fontId="9" fillId="4" borderId="27" xfId="0" applyFont="1" applyFill="1" applyBorder="1" applyAlignment="1">
      <alignment horizontal="center" vertical="center" wrapText="1"/>
    </xf>
    <xf numFmtId="0" fontId="68" fillId="26" borderId="129" xfId="0" applyFont="1" applyFill="1" applyBorder="1" applyAlignment="1" applyProtection="1">
      <alignment horizontal="left" vertical="center"/>
      <protection locked="0"/>
    </xf>
    <xf numFmtId="0" fontId="68" fillId="26" borderId="94" xfId="0" applyFont="1" applyFill="1" applyBorder="1" applyAlignment="1" applyProtection="1">
      <alignment horizontal="left" vertical="center"/>
      <protection locked="0"/>
    </xf>
    <xf numFmtId="0" fontId="68" fillId="26" borderId="43" xfId="0" applyFont="1" applyFill="1" applyBorder="1" applyAlignment="1" applyProtection="1">
      <alignment horizontal="left" vertical="center"/>
      <protection locked="0"/>
    </xf>
    <xf numFmtId="0" fontId="68" fillId="26" borderId="18" xfId="0" applyFont="1" applyFill="1" applyBorder="1" applyAlignment="1" applyProtection="1">
      <alignment horizontal="left" vertical="center"/>
      <protection locked="0"/>
    </xf>
    <xf numFmtId="0" fontId="16" fillId="4" borderId="35" xfId="0" applyFont="1" applyFill="1" applyBorder="1" applyAlignment="1">
      <alignment horizontal="center" vertical="center" wrapText="1"/>
    </xf>
    <xf numFmtId="0" fontId="9" fillId="0" borderId="91" xfId="0" applyFont="1" applyBorder="1" applyAlignment="1">
      <alignment horizontal="center" vertical="center" wrapText="1"/>
    </xf>
    <xf numFmtId="0" fontId="9" fillId="0" borderId="147" xfId="0" applyFont="1" applyBorder="1" applyAlignment="1">
      <alignment horizontal="center" vertical="center" wrapText="1"/>
    </xf>
    <xf numFmtId="0" fontId="9" fillId="4" borderId="22" xfId="0" applyFont="1" applyFill="1" applyBorder="1" applyAlignment="1">
      <alignment horizontal="center" vertical="center" wrapText="1"/>
    </xf>
    <xf numFmtId="0" fontId="3" fillId="2" borderId="0" xfId="0" applyFont="1" applyFill="1" applyAlignment="1">
      <alignment horizontal="left"/>
    </xf>
    <xf numFmtId="0" fontId="75" fillId="26" borderId="139" xfId="0" applyFont="1" applyFill="1" applyBorder="1" applyAlignment="1" applyProtection="1">
      <alignment horizontal="left" vertical="center"/>
      <protection locked="0"/>
    </xf>
    <xf numFmtId="0" fontId="75" fillId="26" borderId="18" xfId="0" applyFont="1" applyFill="1" applyBorder="1" applyAlignment="1" applyProtection="1">
      <alignment horizontal="left" vertical="center"/>
      <protection locked="0"/>
    </xf>
    <xf numFmtId="0" fontId="9" fillId="7" borderId="97" xfId="0" applyFont="1" applyFill="1" applyBorder="1" applyAlignment="1">
      <alignment horizontal="left" vertical="center" wrapText="1"/>
    </xf>
    <xf numFmtId="0" fontId="9" fillId="7" borderId="114"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40"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43" xfId="0" applyFont="1" applyFill="1" applyBorder="1" applyAlignment="1">
      <alignment horizontal="left" vertical="center" wrapText="1"/>
    </xf>
    <xf numFmtId="0" fontId="9" fillId="7" borderId="16"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5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9" fillId="7" borderId="13" xfId="0" applyFont="1" applyFill="1" applyBorder="1" applyAlignment="1">
      <alignment horizontal="left" vertical="center" wrapText="1"/>
    </xf>
    <xf numFmtId="0" fontId="75" fillId="26" borderId="62" xfId="0" applyFont="1" applyFill="1" applyBorder="1" applyAlignment="1" applyProtection="1">
      <alignment vertical="center"/>
      <protection locked="0"/>
    </xf>
    <xf numFmtId="0" fontId="75" fillId="26" borderId="14" xfId="0" applyFont="1" applyFill="1" applyBorder="1" applyAlignment="1" applyProtection="1">
      <alignment vertical="center"/>
      <protection locked="0"/>
    </xf>
    <xf numFmtId="0" fontId="70" fillId="0" borderId="14" xfId="0" applyFont="1" applyBorder="1" applyAlignment="1">
      <alignment horizontal="center" vertical="center"/>
    </xf>
    <xf numFmtId="0" fontId="70" fillId="0" borderId="16" xfId="0" applyFont="1" applyBorder="1" applyAlignment="1">
      <alignment horizontal="center" vertical="center"/>
    </xf>
    <xf numFmtId="0" fontId="70" fillId="0" borderId="18" xfId="0" applyFont="1" applyBorder="1" applyAlignment="1">
      <alignment horizontal="center" vertical="center"/>
    </xf>
    <xf numFmtId="0" fontId="68" fillId="26" borderId="97" xfId="0" applyFont="1" applyFill="1" applyBorder="1" applyAlignment="1" applyProtection="1">
      <alignment horizontal="left" vertical="center"/>
      <protection locked="0"/>
    </xf>
    <xf numFmtId="0" fontId="9" fillId="26" borderId="139" xfId="0" applyFont="1" applyFill="1" applyBorder="1" applyAlignment="1">
      <alignment vertical="center"/>
    </xf>
    <xf numFmtId="0" fontId="9" fillId="26" borderId="18" xfId="0" applyFont="1" applyFill="1" applyBorder="1" applyAlignment="1">
      <alignment vertical="center"/>
    </xf>
    <xf numFmtId="49" fontId="22" fillId="4" borderId="51" xfId="0" applyNumberFormat="1" applyFont="1" applyFill="1" applyBorder="1" applyAlignment="1">
      <alignment horizontal="center" wrapText="1"/>
    </xf>
    <xf numFmtId="49" fontId="39" fillId="4" borderId="46" xfId="0" applyNumberFormat="1" applyFont="1" applyFill="1" applyBorder="1" applyAlignment="1">
      <alignment horizontal="center" wrapText="1"/>
    </xf>
    <xf numFmtId="49" fontId="39" fillId="4" borderId="44" xfId="0" applyNumberFormat="1" applyFont="1" applyFill="1" applyBorder="1" applyAlignment="1">
      <alignment horizontal="center" wrapText="1"/>
    </xf>
    <xf numFmtId="49" fontId="39" fillId="4" borderId="25" xfId="0" applyNumberFormat="1" applyFont="1" applyFill="1" applyBorder="1" applyAlignment="1">
      <alignment horizontal="center" wrapText="1"/>
    </xf>
    <xf numFmtId="0" fontId="2" fillId="7" borderId="144" xfId="0" applyFont="1" applyFill="1" applyBorder="1" applyAlignment="1">
      <alignment horizontal="center" vertical="center"/>
    </xf>
    <xf numFmtId="49" fontId="9" fillId="2" borderId="42" xfId="0" applyNumberFormat="1" applyFont="1" applyFill="1" applyBorder="1" applyAlignment="1">
      <alignment horizontal="center"/>
    </xf>
    <xf numFmtId="49" fontId="9" fillId="2" borderId="11" xfId="0" applyNumberFormat="1" applyFont="1" applyFill="1" applyBorder="1" applyAlignment="1">
      <alignment horizontal="center"/>
    </xf>
    <xf numFmtId="49" fontId="9" fillId="2" borderId="5" xfId="0" applyNumberFormat="1" applyFont="1" applyFill="1" applyBorder="1" applyAlignment="1">
      <alignment horizontal="center"/>
    </xf>
    <xf numFmtId="49" fontId="9" fillId="2" borderId="13" xfId="0" applyNumberFormat="1" applyFont="1" applyFill="1" applyBorder="1" applyAlignment="1">
      <alignment horizontal="center"/>
    </xf>
    <xf numFmtId="49" fontId="9" fillId="2" borderId="16" xfId="0" applyNumberFormat="1" applyFont="1" applyFill="1" applyBorder="1" applyAlignment="1">
      <alignment horizontal="center"/>
    </xf>
    <xf numFmtId="49" fontId="9" fillId="2" borderId="18" xfId="0" applyNumberFormat="1" applyFont="1" applyFill="1" applyBorder="1" applyAlignment="1">
      <alignment horizontal="center"/>
    </xf>
    <xf numFmtId="49" fontId="22" fillId="4" borderId="0" xfId="0" applyNumberFormat="1" applyFont="1" applyFill="1" applyAlignment="1">
      <alignment horizontal="center" wrapText="1"/>
    </xf>
    <xf numFmtId="49" fontId="39" fillId="4" borderId="28" xfId="0" applyNumberFormat="1" applyFont="1" applyFill="1" applyBorder="1" applyAlignment="1">
      <alignment horizontal="center" wrapText="1"/>
    </xf>
    <xf numFmtId="49" fontId="39" fillId="4" borderId="24" xfId="0" applyNumberFormat="1" applyFont="1" applyFill="1" applyBorder="1" applyAlignment="1">
      <alignment horizontal="center" wrapText="1"/>
    </xf>
    <xf numFmtId="49" fontId="39" fillId="4" borderId="22" xfId="0" applyNumberFormat="1" applyFont="1" applyFill="1" applyBorder="1" applyAlignment="1">
      <alignment horizontal="center" wrapText="1"/>
    </xf>
    <xf numFmtId="0" fontId="2" fillId="6" borderId="129"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94"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9" fillId="6" borderId="4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8" xfId="0" applyFont="1" applyFill="1" applyBorder="1" applyAlignment="1">
      <alignment horizontal="center" vertical="center"/>
    </xf>
    <xf numFmtId="0" fontId="75" fillId="0" borderId="4" xfId="0" applyFont="1" applyBorder="1" applyAlignment="1" applyProtection="1">
      <alignment horizontal="center" vertical="center"/>
      <protection locked="0"/>
    </xf>
    <xf numFmtId="0" fontId="75" fillId="0" borderId="22" xfId="0" applyFont="1" applyBorder="1" applyAlignment="1" applyProtection="1">
      <alignment horizontal="center" vertical="center"/>
      <protection locked="0"/>
    </xf>
    <xf numFmtId="0" fontId="9" fillId="0" borderId="87" xfId="0" applyFont="1" applyBorder="1" applyAlignment="1">
      <alignment vertical="center" wrapText="1"/>
    </xf>
    <xf numFmtId="0" fontId="9" fillId="0" borderId="121" xfId="0" applyFont="1" applyBorder="1" applyAlignment="1">
      <alignment vertical="center" wrapText="1"/>
    </xf>
    <xf numFmtId="0" fontId="9" fillId="0" borderId="55" xfId="0" applyFont="1" applyBorder="1" applyAlignment="1">
      <alignment vertical="center" wrapText="1"/>
    </xf>
    <xf numFmtId="0" fontId="6" fillId="26" borderId="33" xfId="0" applyFont="1" applyFill="1" applyBorder="1" applyAlignment="1" applyProtection="1">
      <alignment horizontal="center" vertical="center" wrapText="1"/>
      <protection locked="0"/>
    </xf>
    <xf numFmtId="0" fontId="9" fillId="0" borderId="96" xfId="0" applyFont="1" applyBorder="1" applyAlignment="1">
      <alignment vertical="center" wrapText="1"/>
    </xf>
    <xf numFmtId="0" fontId="9" fillId="0" borderId="111" xfId="0" applyFont="1" applyBorder="1" applyAlignment="1">
      <alignment vertical="center" wrapText="1"/>
    </xf>
    <xf numFmtId="0" fontId="9" fillId="0" borderId="73" xfId="0" applyFont="1" applyBorder="1" applyAlignment="1">
      <alignment vertical="center" wrapText="1"/>
    </xf>
    <xf numFmtId="0" fontId="9" fillId="25" borderId="129" xfId="0" applyFont="1" applyFill="1" applyBorder="1" applyAlignment="1">
      <alignment horizontal="center" wrapText="1"/>
    </xf>
    <xf numFmtId="0" fontId="9" fillId="25" borderId="45" xfId="0" applyFont="1" applyFill="1" applyBorder="1" applyAlignment="1">
      <alignment horizontal="center" wrapText="1"/>
    </xf>
    <xf numFmtId="0" fontId="9" fillId="25" borderId="94" xfId="0" applyFont="1" applyFill="1" applyBorder="1" applyAlignment="1">
      <alignment horizontal="center" wrapText="1"/>
    </xf>
    <xf numFmtId="0" fontId="9" fillId="25" borderId="44" xfId="0" applyFont="1" applyFill="1" applyBorder="1" applyAlignment="1">
      <alignment horizontal="center" wrapText="1"/>
    </xf>
    <xf numFmtId="0" fontId="9" fillId="25" borderId="24" xfId="0" applyFont="1" applyFill="1" applyBorder="1" applyAlignment="1">
      <alignment horizontal="center" wrapText="1"/>
    </xf>
    <xf numFmtId="0" fontId="9" fillId="25" borderId="22" xfId="0" applyFont="1" applyFill="1" applyBorder="1" applyAlignment="1">
      <alignment horizontal="center" wrapText="1"/>
    </xf>
    <xf numFmtId="0" fontId="9" fillId="4" borderId="8" xfId="0" applyFont="1" applyFill="1" applyBorder="1" applyAlignment="1">
      <alignment horizontal="center" vertical="center" wrapText="1"/>
    </xf>
    <xf numFmtId="0" fontId="9" fillId="6" borderId="139"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6" fillId="26" borderId="134" xfId="0" applyFont="1" applyFill="1" applyBorder="1" applyAlignment="1" applyProtection="1">
      <alignment horizontal="center" vertical="center" wrapText="1"/>
      <protection locked="0"/>
    </xf>
    <xf numFmtId="0" fontId="6" fillId="26" borderId="138" xfId="0" applyFont="1" applyFill="1" applyBorder="1" applyAlignment="1" applyProtection="1">
      <alignment horizontal="center" vertical="center" wrapText="1"/>
      <protection locked="0"/>
    </xf>
    <xf numFmtId="0" fontId="9" fillId="0" borderId="68" xfId="0" applyFont="1" applyBorder="1" applyAlignment="1">
      <alignment horizontal="center" vertical="center" wrapText="1"/>
    </xf>
    <xf numFmtId="0" fontId="53" fillId="0" borderId="135" xfId="0" applyFont="1" applyBorder="1" applyAlignment="1">
      <alignment vertical="center" wrapText="1"/>
    </xf>
    <xf numFmtId="0" fontId="53" fillId="0" borderId="137" xfId="0" applyFont="1" applyBorder="1" applyAlignment="1">
      <alignment vertical="center" wrapText="1"/>
    </xf>
    <xf numFmtId="0" fontId="3" fillId="6" borderId="144" xfId="0" applyFont="1" applyFill="1" applyBorder="1" applyAlignment="1">
      <alignment horizontal="center" vertical="center" wrapText="1"/>
    </xf>
    <xf numFmtId="0" fontId="3" fillId="6" borderId="85" xfId="0" applyFont="1" applyFill="1" applyBorder="1" applyAlignment="1">
      <alignment horizontal="center" vertical="center" wrapText="1"/>
    </xf>
    <xf numFmtId="177" fontId="0" fillId="0" borderId="0" xfId="0" applyNumberFormat="1" applyAlignment="1">
      <alignment horizontal="left" vertical="center"/>
    </xf>
    <xf numFmtId="0" fontId="28" fillId="4" borderId="45"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6" fillId="26" borderId="38" xfId="0" applyFont="1" applyFill="1" applyBorder="1" applyAlignment="1" applyProtection="1">
      <alignment horizontal="center" vertical="center" wrapText="1"/>
      <protection locked="0"/>
    </xf>
    <xf numFmtId="0" fontId="6" fillId="26" borderId="126" xfId="0" applyFont="1" applyFill="1" applyBorder="1" applyAlignment="1" applyProtection="1">
      <alignment horizontal="center" vertical="center" wrapText="1"/>
      <protection locked="0"/>
    </xf>
    <xf numFmtId="0" fontId="14" fillId="3" borderId="124" xfId="0" applyFont="1" applyFill="1" applyBorder="1" applyAlignment="1">
      <alignment horizontal="center" vertical="center" wrapText="1"/>
    </xf>
    <xf numFmtId="0" fontId="14" fillId="3" borderId="125" xfId="0" applyFont="1" applyFill="1" applyBorder="1" applyAlignment="1">
      <alignment horizontal="center" vertical="center" wrapText="1"/>
    </xf>
    <xf numFmtId="0" fontId="9" fillId="0" borderId="142" xfId="0" applyFont="1" applyBorder="1" applyAlignment="1">
      <alignment horizontal="center" vertical="center" wrapText="1"/>
    </xf>
    <xf numFmtId="0" fontId="22" fillId="4" borderId="9" xfId="0" applyFont="1" applyFill="1" applyBorder="1" applyAlignment="1">
      <alignment horizontal="center" vertical="center" wrapText="1"/>
    </xf>
    <xf numFmtId="0" fontId="9" fillId="0" borderId="16" xfId="0" applyFont="1" applyBorder="1" applyAlignment="1">
      <alignment vertical="center" wrapText="1"/>
    </xf>
    <xf numFmtId="0" fontId="9" fillId="0" borderId="27" xfId="0" applyFont="1" applyBorder="1" applyAlignment="1">
      <alignment horizontal="center" vertical="center" wrapText="1"/>
    </xf>
    <xf numFmtId="0" fontId="6" fillId="26" borderId="97" xfId="0" applyFont="1" applyFill="1" applyBorder="1" applyAlignment="1" applyProtection="1">
      <alignment horizontal="center" vertical="center" wrapText="1"/>
      <protection locked="0"/>
    </xf>
    <xf numFmtId="0" fontId="6" fillId="26" borderId="120" xfId="0" applyFont="1" applyFill="1" applyBorder="1" applyAlignment="1" applyProtection="1">
      <alignment horizontal="center" vertical="center" wrapText="1"/>
      <protection locked="0"/>
    </xf>
    <xf numFmtId="0" fontId="6" fillId="26" borderId="43" xfId="0" applyFont="1" applyFill="1" applyBorder="1" applyAlignment="1" applyProtection="1">
      <alignment horizontal="center" vertical="center" wrapText="1"/>
      <protection locked="0"/>
    </xf>
    <xf numFmtId="0" fontId="16" fillId="4" borderId="105" xfId="0" applyFont="1" applyFill="1" applyBorder="1" applyAlignment="1">
      <alignment horizontal="center" wrapText="1"/>
    </xf>
    <xf numFmtId="0" fontId="45" fillId="4" borderId="143" xfId="0" applyFont="1" applyFill="1" applyBorder="1" applyAlignment="1">
      <alignment horizontal="center" wrapText="1"/>
    </xf>
    <xf numFmtId="0" fontId="45" fillId="4" borderId="113" xfId="0" applyFont="1" applyFill="1" applyBorder="1" applyAlignment="1">
      <alignment horizontal="center" wrapText="1"/>
    </xf>
    <xf numFmtId="0" fontId="45" fillId="4" borderId="46" xfId="0" applyFont="1" applyFill="1" applyBorder="1" applyAlignment="1">
      <alignment horizontal="center" wrapText="1"/>
    </xf>
    <xf numFmtId="0" fontId="45" fillId="4" borderId="25" xfId="0" applyFont="1" applyFill="1" applyBorder="1" applyAlignment="1">
      <alignment horizontal="center" wrapText="1"/>
    </xf>
    <xf numFmtId="0" fontId="6" fillId="26" borderId="32" xfId="0" applyFont="1" applyFill="1" applyBorder="1" applyAlignment="1" applyProtection="1">
      <alignment horizontal="center" vertical="center" wrapText="1"/>
      <protection locked="0"/>
    </xf>
    <xf numFmtId="0" fontId="2" fillId="6" borderId="40"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23" xfId="0" applyFont="1" applyFill="1" applyBorder="1" applyAlignment="1">
      <alignment horizontal="center" vertical="center"/>
    </xf>
    <xf numFmtId="0" fontId="78" fillId="6" borderId="129" xfId="0" applyFont="1" applyFill="1" applyBorder="1" applyAlignment="1">
      <alignment horizontal="center" vertical="center"/>
    </xf>
    <xf numFmtId="0" fontId="78" fillId="6" borderId="45" xfId="0" applyFont="1" applyFill="1" applyBorder="1" applyAlignment="1">
      <alignment horizontal="center" vertical="center"/>
    </xf>
    <xf numFmtId="0" fontId="78" fillId="6" borderId="94" xfId="0" applyFont="1" applyFill="1" applyBorder="1" applyAlignment="1">
      <alignment horizontal="center" vertical="center"/>
    </xf>
    <xf numFmtId="0" fontId="70" fillId="6" borderId="7" xfId="0" applyFont="1" applyFill="1" applyBorder="1" applyAlignment="1">
      <alignment horizontal="center" vertical="center"/>
    </xf>
    <xf numFmtId="0" fontId="70" fillId="6" borderId="96" xfId="0" applyFont="1" applyFill="1" applyBorder="1" applyAlignment="1">
      <alignment horizontal="center" vertical="center"/>
    </xf>
    <xf numFmtId="0" fontId="70" fillId="0" borderId="114" xfId="0" applyFont="1" applyBorder="1" applyAlignment="1">
      <alignment horizontal="center" vertical="center"/>
    </xf>
    <xf numFmtId="0" fontId="70" fillId="6" borderId="42" xfId="0" applyFont="1" applyFill="1" applyBorder="1" applyAlignment="1">
      <alignment horizontal="center" vertical="center"/>
    </xf>
    <xf numFmtId="0" fontId="70" fillId="6" borderId="8" xfId="0" applyFont="1" applyFill="1" applyBorder="1" applyAlignment="1">
      <alignment horizontal="center" vertical="center"/>
    </xf>
    <xf numFmtId="0" fontId="70" fillId="6" borderId="11" xfId="0" applyFont="1" applyFill="1" applyBorder="1" applyAlignment="1">
      <alignment horizontal="center" vertical="center"/>
    </xf>
    <xf numFmtId="0" fontId="12" fillId="6" borderId="168" xfId="0" applyFont="1" applyFill="1" applyBorder="1" applyAlignment="1">
      <alignment horizontal="center" vertical="center"/>
    </xf>
    <xf numFmtId="0" fontId="12" fillId="6" borderId="169" xfId="0" applyFont="1" applyFill="1" applyBorder="1" applyAlignment="1">
      <alignment horizontal="center" vertical="center"/>
    </xf>
    <xf numFmtId="0" fontId="12" fillId="6" borderId="44" xfId="0" applyFont="1" applyFill="1" applyBorder="1" applyAlignment="1">
      <alignment horizontal="center" vertical="center"/>
    </xf>
    <xf numFmtId="0" fontId="12" fillId="6" borderId="22" xfId="0" applyFont="1" applyFill="1" applyBorder="1" applyAlignment="1">
      <alignment horizontal="center" vertical="center"/>
    </xf>
    <xf numFmtId="0" fontId="70" fillId="0" borderId="40" xfId="0" applyFont="1" applyBorder="1" applyAlignment="1">
      <alignment horizontal="center" vertical="center"/>
    </xf>
    <xf numFmtId="0" fontId="70" fillId="0" borderId="3" xfId="0" applyFont="1" applyBorder="1" applyAlignment="1">
      <alignment horizontal="center" vertical="center"/>
    </xf>
    <xf numFmtId="0" fontId="70" fillId="0" borderId="19" xfId="0" applyFont="1" applyBorder="1" applyAlignment="1">
      <alignment horizontal="center" vertical="center"/>
    </xf>
    <xf numFmtId="0" fontId="3" fillId="0" borderId="87" xfId="0" applyFont="1" applyBorder="1" applyAlignment="1">
      <alignment horizontal="center" vertical="center" textRotation="90"/>
    </xf>
    <xf numFmtId="0" fontId="3" fillId="0" borderId="121" xfId="0" applyFont="1" applyBorder="1" applyAlignment="1">
      <alignment horizontal="center" vertical="center" textRotation="90"/>
    </xf>
    <xf numFmtId="0" fontId="3" fillId="0" borderId="55" xfId="0" applyFont="1" applyBorder="1" applyAlignment="1">
      <alignment horizontal="center" vertical="center" textRotation="90"/>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9" fillId="0" borderId="19" xfId="0" applyFont="1" applyBorder="1" applyAlignment="1">
      <alignment horizontal="center" vertical="center"/>
    </xf>
    <xf numFmtId="0" fontId="15" fillId="2" borderId="0" xfId="0" applyFont="1" applyFill="1" applyAlignment="1">
      <alignment horizontal="left"/>
    </xf>
    <xf numFmtId="49" fontId="9" fillId="2" borderId="8" xfId="0" applyNumberFormat="1" applyFont="1" applyFill="1" applyBorder="1" applyAlignment="1">
      <alignment horizontal="center"/>
    </xf>
    <xf numFmtId="49" fontId="9" fillId="2" borderId="23" xfId="0" applyNumberFormat="1" applyFont="1" applyFill="1" applyBorder="1" applyAlignment="1">
      <alignment horizontal="center"/>
    </xf>
    <xf numFmtId="0" fontId="9" fillId="4" borderId="168" xfId="0" applyFont="1" applyFill="1" applyBorder="1" applyAlignment="1">
      <alignment horizontal="left" vertical="center" wrapText="1"/>
    </xf>
    <xf numFmtId="0" fontId="9" fillId="4" borderId="169" xfId="0" applyFont="1" applyFill="1" applyBorder="1" applyAlignment="1">
      <alignment horizontal="left" vertical="center" wrapText="1"/>
    </xf>
    <xf numFmtId="0" fontId="9" fillId="4" borderId="44"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9" fillId="6" borderId="97"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75" fillId="0" borderId="43" xfId="0" applyFont="1" applyBorder="1" applyAlignment="1" applyProtection="1">
      <alignment horizontal="center" vertical="center"/>
      <protection locked="0"/>
    </xf>
    <xf numFmtId="0" fontId="75" fillId="0" borderId="6" xfId="0" applyFont="1" applyBorder="1" applyAlignment="1" applyProtection="1">
      <alignment horizontal="center" vertical="center"/>
      <protection locked="0"/>
    </xf>
    <xf numFmtId="49" fontId="9" fillId="2" borderId="43" xfId="0" applyNumberFormat="1" applyFont="1" applyFill="1" applyBorder="1" applyAlignment="1">
      <alignment horizontal="center"/>
    </xf>
    <xf numFmtId="49" fontId="9" fillId="2" borderId="6" xfId="0" applyNumberFormat="1" applyFont="1" applyFill="1" applyBorder="1" applyAlignment="1">
      <alignment horizontal="center"/>
    </xf>
    <xf numFmtId="0" fontId="115" fillId="6" borderId="134" xfId="0" applyFont="1" applyFill="1" applyBorder="1" applyAlignment="1">
      <alignment horizontal="center" vertical="center" wrapText="1"/>
    </xf>
    <xf numFmtId="0" fontId="115" fillId="6" borderId="94" xfId="0" applyFont="1" applyFill="1" applyBorder="1" applyAlignment="1">
      <alignment horizontal="center" vertical="center" wrapText="1"/>
    </xf>
    <xf numFmtId="0" fontId="78" fillId="6" borderId="27" xfId="0" applyFont="1" applyFill="1" applyBorder="1" applyAlignment="1">
      <alignment horizontal="center" vertical="center" wrapText="1"/>
    </xf>
    <xf numFmtId="2" fontId="9" fillId="0" borderId="21" xfId="0" applyNumberFormat="1" applyFont="1" applyBorder="1" applyAlignment="1">
      <alignment horizontal="center"/>
    </xf>
    <xf numFmtId="2" fontId="9" fillId="0" borderId="4" xfId="0" applyNumberFormat="1" applyFont="1" applyBorder="1" applyAlignment="1">
      <alignment horizontal="center"/>
    </xf>
    <xf numFmtId="2" fontId="9" fillId="0" borderId="10" xfId="0" applyNumberFormat="1" applyFont="1" applyBorder="1" applyAlignment="1">
      <alignment horizontal="center"/>
    </xf>
    <xf numFmtId="2" fontId="9" fillId="0" borderId="13" xfId="0" applyNumberFormat="1" applyFont="1" applyBorder="1" applyAlignment="1">
      <alignment horizontal="center"/>
    </xf>
    <xf numFmtId="165" fontId="9" fillId="0" borderId="9" xfId="0" applyNumberFormat="1" applyFont="1" applyBorder="1" applyAlignment="1">
      <alignment horizontal="center"/>
    </xf>
    <xf numFmtId="165" fontId="9" fillId="0" borderId="23" xfId="0" applyNumberFormat="1" applyFont="1" applyBorder="1" applyAlignment="1">
      <alignment horizontal="center"/>
    </xf>
    <xf numFmtId="0" fontId="117" fillId="6" borderId="21" xfId="0" applyFont="1" applyFill="1" applyBorder="1" applyAlignment="1">
      <alignment horizontal="center" vertical="center" wrapText="1"/>
    </xf>
    <xf numFmtId="0" fontId="117" fillId="6" borderId="3" xfId="0" applyFont="1" applyFill="1" applyBorder="1" applyAlignment="1">
      <alignment horizontal="center" vertical="center" wrapText="1"/>
    </xf>
    <xf numFmtId="0" fontId="117" fillId="6" borderId="19" xfId="0" applyFont="1" applyFill="1" applyBorder="1" applyAlignment="1">
      <alignment horizontal="center" vertical="center" wrapText="1"/>
    </xf>
    <xf numFmtId="0" fontId="333" fillId="6" borderId="21" xfId="0" applyFont="1" applyFill="1" applyBorder="1" applyAlignment="1">
      <alignment horizontal="center" vertical="center"/>
    </xf>
    <xf numFmtId="0" fontId="333" fillId="6" borderId="3" xfId="0" applyFont="1" applyFill="1" applyBorder="1" applyAlignment="1">
      <alignment horizontal="center" vertical="center"/>
    </xf>
    <xf numFmtId="0" fontId="333" fillId="6" borderId="19" xfId="0" applyFont="1" applyFill="1" applyBorder="1" applyAlignment="1">
      <alignment horizontal="center" vertical="center"/>
    </xf>
    <xf numFmtId="0" fontId="330" fillId="6" borderId="9" xfId="0" applyFont="1" applyFill="1" applyBorder="1" applyAlignment="1">
      <alignment horizontal="center"/>
    </xf>
    <xf numFmtId="0" fontId="330" fillId="6" borderId="11" xfId="0" applyFont="1" applyFill="1" applyBorder="1" applyAlignment="1">
      <alignment horizontal="center"/>
    </xf>
    <xf numFmtId="0" fontId="78" fillId="6" borderId="9" xfId="0" applyFont="1" applyFill="1" applyBorder="1" applyAlignment="1">
      <alignment horizontal="center" vertical="center" wrapText="1"/>
    </xf>
    <xf numFmtId="0" fontId="78" fillId="6" borderId="11" xfId="0" applyFont="1" applyFill="1" applyBorder="1" applyAlignment="1">
      <alignment horizontal="center" vertical="center" wrapText="1"/>
    </xf>
    <xf numFmtId="0" fontId="78" fillId="6" borderId="25" xfId="0" applyFont="1" applyFill="1" applyBorder="1" applyAlignment="1">
      <alignment horizontal="center" vertical="center" wrapText="1"/>
    </xf>
    <xf numFmtId="0" fontId="68" fillId="26" borderId="10" xfId="0" applyFont="1" applyFill="1" applyBorder="1" applyAlignment="1" applyProtection="1">
      <alignment horizontal="center" vertical="center"/>
      <protection locked="0"/>
    </xf>
    <xf numFmtId="0" fontId="68" fillId="26" borderId="5" xfId="0" applyFont="1" applyFill="1" applyBorder="1" applyAlignment="1" applyProtection="1">
      <alignment horizontal="center" vertical="center"/>
      <protection locked="0"/>
    </xf>
    <xf numFmtId="0" fontId="68" fillId="26" borderId="10" xfId="0" applyFont="1" applyFill="1" applyBorder="1" applyAlignment="1" applyProtection="1">
      <alignment horizontal="center" vertical="center" wrapText="1"/>
      <protection locked="0"/>
    </xf>
    <xf numFmtId="0" fontId="122" fillId="0" borderId="21" xfId="0" applyFont="1" applyBorder="1" applyAlignment="1">
      <alignment horizontal="center" vertical="center" wrapText="1"/>
    </xf>
    <xf numFmtId="0" fontId="122" fillId="0" borderId="19" xfId="0" applyFont="1" applyBorder="1" applyAlignment="1">
      <alignment horizontal="center" vertical="center" wrapText="1"/>
    </xf>
    <xf numFmtId="0" fontId="3" fillId="6" borderId="21" xfId="0" applyFont="1" applyFill="1" applyBorder="1" applyAlignment="1">
      <alignment horizontal="center" vertical="center"/>
    </xf>
    <xf numFmtId="0" fontId="3" fillId="6" borderId="19"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1" xfId="0" applyFont="1" applyFill="1" applyBorder="1" applyAlignment="1">
      <alignment horizontal="center" vertical="center"/>
    </xf>
    <xf numFmtId="0" fontId="332" fillId="6" borderId="9" xfId="0" applyFont="1" applyFill="1" applyBorder="1" applyAlignment="1">
      <alignment horizontal="center" vertical="center" wrapText="1"/>
    </xf>
    <xf numFmtId="0" fontId="332" fillId="6" borderId="11" xfId="0" applyFont="1" applyFill="1" applyBorder="1" applyAlignment="1">
      <alignment horizontal="center" vertical="center" wrapText="1"/>
    </xf>
    <xf numFmtId="2" fontId="122" fillId="0" borderId="10" xfId="0" applyNumberFormat="1" applyFont="1" applyBorder="1" applyAlignment="1">
      <alignment horizontal="center"/>
    </xf>
    <xf numFmtId="2" fontId="122" fillId="0" borderId="12" xfId="0" applyNumberFormat="1" applyFont="1" applyBorder="1" applyAlignment="1">
      <alignment horizontal="center"/>
    </xf>
    <xf numFmtId="0" fontId="9" fillId="4" borderId="205" xfId="0" applyFont="1" applyFill="1" applyBorder="1" applyAlignment="1">
      <alignment horizontal="center" wrapText="1"/>
    </xf>
    <xf numFmtId="0" fontId="9" fillId="4" borderId="206" xfId="0" applyFont="1" applyFill="1" applyBorder="1" applyAlignment="1">
      <alignment horizontal="center" wrapText="1"/>
    </xf>
    <xf numFmtId="0" fontId="9" fillId="24" borderId="104" xfId="0" applyFont="1" applyFill="1" applyBorder="1" applyAlignment="1">
      <alignment horizontal="center" vertical="center"/>
    </xf>
    <xf numFmtId="0" fontId="9" fillId="24" borderId="150" xfId="0" applyFont="1" applyFill="1" applyBorder="1" applyAlignment="1">
      <alignment horizontal="center" vertical="center"/>
    </xf>
    <xf numFmtId="0" fontId="0" fillId="0" borderId="40" xfId="0" applyBorder="1" applyAlignment="1">
      <alignment vertical="center"/>
    </xf>
    <xf numFmtId="0" fontId="0" fillId="0" borderId="19" xfId="0" applyBorder="1" applyAlignment="1">
      <alignment vertical="center"/>
    </xf>
    <xf numFmtId="0" fontId="3" fillId="0" borderId="3" xfId="0" applyFont="1" applyBorder="1" applyAlignment="1">
      <alignment horizontal="center" vertical="center"/>
    </xf>
    <xf numFmtId="0" fontId="3" fillId="0" borderId="36" xfId="0" applyFont="1" applyBorder="1" applyAlignment="1">
      <alignment horizontal="center" vertical="center"/>
    </xf>
    <xf numFmtId="0" fontId="0" fillId="0" borderId="51" xfId="0" applyBorder="1" applyAlignment="1">
      <alignment vertical="center"/>
    </xf>
    <xf numFmtId="0" fontId="0" fillId="0" borderId="46" xfId="0" applyBorder="1" applyAlignment="1">
      <alignment vertical="center"/>
    </xf>
    <xf numFmtId="0" fontId="0" fillId="0" borderId="186" xfId="0" applyBorder="1" applyAlignment="1">
      <alignment vertical="center"/>
    </xf>
    <xf numFmtId="0" fontId="0" fillId="0" borderId="147" xfId="0" applyBorder="1" applyAlignment="1">
      <alignment vertical="center"/>
    </xf>
    <xf numFmtId="164" fontId="9" fillId="0" borderId="5" xfId="0" applyNumberFormat="1" applyFont="1" applyBorder="1" applyAlignment="1">
      <alignment horizontal="center" vertical="center" wrapText="1"/>
    </xf>
    <xf numFmtId="164" fontId="9" fillId="0" borderId="34" xfId="0" applyNumberFormat="1" applyFont="1" applyBorder="1" applyAlignment="1">
      <alignment horizontal="center" vertical="center" wrapText="1"/>
    </xf>
    <xf numFmtId="197" fontId="75" fillId="26" borderId="62" xfId="0" applyNumberFormat="1" applyFont="1" applyFill="1" applyBorder="1" applyAlignment="1" applyProtection="1">
      <alignment vertical="center"/>
      <protection locked="0"/>
    </xf>
    <xf numFmtId="197" fontId="75" fillId="26" borderId="14" xfId="0" applyNumberFormat="1" applyFont="1" applyFill="1" applyBorder="1" applyAlignment="1" applyProtection="1">
      <alignment vertical="center"/>
      <protection locked="0"/>
    </xf>
    <xf numFmtId="197" fontId="75" fillId="26" borderId="139" xfId="0" applyNumberFormat="1" applyFont="1" applyFill="1" applyBorder="1" applyAlignment="1" applyProtection="1">
      <alignment horizontal="left" vertical="center"/>
      <protection locked="0"/>
    </xf>
    <xf numFmtId="197" fontId="75" fillId="26" borderId="18" xfId="0" applyNumberFormat="1" applyFont="1" applyFill="1" applyBorder="1" applyAlignment="1" applyProtection="1">
      <alignment horizontal="left" vertical="center"/>
      <protection locked="0"/>
    </xf>
    <xf numFmtId="0" fontId="2" fillId="6" borderId="129" xfId="0" applyFont="1" applyFill="1" applyBorder="1" applyAlignment="1">
      <alignment horizontal="center" vertical="center"/>
    </xf>
    <xf numFmtId="0" fontId="2" fillId="6" borderId="94"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22" xfId="0" applyFont="1" applyFill="1" applyBorder="1" applyAlignment="1">
      <alignment horizontal="center" vertical="center"/>
    </xf>
    <xf numFmtId="0" fontId="3" fillId="0" borderId="130"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85" xfId="0" applyFont="1" applyBorder="1" applyAlignment="1">
      <alignment horizontal="center" vertical="center" wrapText="1"/>
    </xf>
    <xf numFmtId="0" fontId="9" fillId="6" borderId="42" xfId="0" applyFont="1" applyFill="1" applyBorder="1" applyAlignment="1">
      <alignment horizontal="center" vertical="center"/>
    </xf>
    <xf numFmtId="0" fontId="9" fillId="6" borderId="11" xfId="0" applyFont="1" applyFill="1" applyBorder="1" applyAlignment="1">
      <alignment horizontal="center" vertical="center"/>
    </xf>
    <xf numFmtId="0" fontId="70" fillId="6" borderId="9" xfId="0" applyFont="1" applyFill="1" applyBorder="1" applyAlignment="1">
      <alignment horizontal="center" vertical="center"/>
    </xf>
    <xf numFmtId="0" fontId="70" fillId="6" borderId="23" xfId="0" applyFont="1" applyFill="1" applyBorder="1" applyAlignment="1">
      <alignment horizontal="center" vertical="center"/>
    </xf>
    <xf numFmtId="0" fontId="78" fillId="6" borderId="40" xfId="0" applyFont="1" applyFill="1" applyBorder="1" applyAlignment="1">
      <alignment horizontal="center" vertical="center"/>
    </xf>
    <xf numFmtId="0" fontId="78" fillId="6" borderId="3" xfId="0" applyFont="1" applyFill="1" applyBorder="1" applyAlignment="1">
      <alignment horizontal="center" vertical="center"/>
    </xf>
    <xf numFmtId="0" fontId="78" fillId="6" borderId="4" xfId="0" applyFont="1" applyFill="1" applyBorder="1" applyAlignment="1">
      <alignment horizontal="center" vertical="center"/>
    </xf>
    <xf numFmtId="0" fontId="68" fillId="26" borderId="129" xfId="0" applyFont="1" applyFill="1" applyBorder="1" applyAlignment="1" applyProtection="1">
      <alignment horizontal="center" vertical="center"/>
      <protection locked="0"/>
    </xf>
    <xf numFmtId="0" fontId="68" fillId="26" borderId="94" xfId="0" applyFont="1" applyFill="1" applyBorder="1" applyAlignment="1" applyProtection="1">
      <alignment horizontal="center" vertical="center"/>
      <protection locked="0"/>
    </xf>
    <xf numFmtId="0" fontId="68" fillId="26" borderId="43" xfId="0" applyFont="1" applyFill="1" applyBorder="1" applyAlignment="1" applyProtection="1">
      <alignment horizontal="center" vertical="center"/>
      <protection locked="0"/>
    </xf>
    <xf numFmtId="0" fontId="68" fillId="26" borderId="18" xfId="0" applyFont="1" applyFill="1" applyBorder="1" applyAlignment="1" applyProtection="1">
      <alignment horizontal="center" vertical="center"/>
      <protection locked="0"/>
    </xf>
    <xf numFmtId="0" fontId="70" fillId="0" borderId="10" xfId="0" applyFont="1" applyBorder="1" applyAlignment="1">
      <alignment horizontal="center" vertical="center"/>
    </xf>
    <xf numFmtId="0" fontId="70" fillId="0" borderId="5" xfId="0" applyFont="1" applyBorder="1" applyAlignment="1">
      <alignment horizontal="center" vertical="center"/>
    </xf>
    <xf numFmtId="0" fontId="70" fillId="0" borderId="13" xfId="0" applyFont="1" applyBorder="1" applyAlignment="1">
      <alignment horizontal="center" vertical="center"/>
    </xf>
    <xf numFmtId="0" fontId="68" fillId="26" borderId="13" xfId="0" applyFont="1" applyFill="1" applyBorder="1" applyAlignment="1" applyProtection="1">
      <alignment horizontal="center" vertical="center"/>
      <protection locked="0"/>
    </xf>
    <xf numFmtId="0" fontId="68" fillId="26" borderId="97" xfId="0" applyFont="1" applyFill="1" applyBorder="1" applyAlignment="1" applyProtection="1">
      <alignment horizontal="center" vertical="center"/>
      <protection locked="0"/>
    </xf>
    <xf numFmtId="0" fontId="68" fillId="26" borderId="139" xfId="0" applyFont="1" applyFill="1" applyBorder="1" applyAlignment="1" applyProtection="1">
      <alignment horizontal="center" vertical="center"/>
      <protection locked="0"/>
    </xf>
    <xf numFmtId="0" fontId="68" fillId="26" borderId="42" xfId="0" applyFont="1" applyFill="1" applyBorder="1" applyAlignment="1" applyProtection="1">
      <alignment horizontal="center" vertical="center"/>
      <protection locked="0"/>
    </xf>
    <xf numFmtId="0" fontId="68" fillId="26" borderId="23" xfId="0" applyFont="1" applyFill="1" applyBorder="1" applyAlignment="1" applyProtection="1">
      <alignment horizontal="center" vertical="center"/>
      <protection locked="0"/>
    </xf>
    <xf numFmtId="0" fontId="244" fillId="0" borderId="51" xfId="0" applyFont="1" applyBorder="1" applyAlignment="1">
      <alignment horizontal="center" vertical="center"/>
    </xf>
    <xf numFmtId="0" fontId="244" fillId="0" borderId="0" xfId="0" applyFont="1" applyAlignment="1">
      <alignment horizontal="center" vertical="center"/>
    </xf>
    <xf numFmtId="0" fontId="244" fillId="0" borderId="46" xfId="0" applyFont="1" applyBorder="1" applyAlignment="1">
      <alignment horizontal="center" vertical="center"/>
    </xf>
    <xf numFmtId="0" fontId="16" fillId="0" borderId="87" xfId="0" applyFont="1" applyBorder="1" applyAlignment="1">
      <alignment horizontal="center" vertical="center" wrapText="1"/>
    </xf>
    <xf numFmtId="0" fontId="16" fillId="0" borderId="55" xfId="0" applyFont="1" applyBorder="1" applyAlignment="1">
      <alignment horizontal="center" vertical="center" wrapText="1"/>
    </xf>
    <xf numFmtId="0" fontId="2" fillId="8" borderId="15" xfId="0" applyFont="1" applyFill="1" applyBorder="1" applyAlignment="1">
      <alignment horizontal="center" vertical="center"/>
    </xf>
    <xf numFmtId="0" fontId="2" fillId="8" borderId="37" xfId="0" applyFont="1" applyFill="1" applyBorder="1" applyAlignment="1">
      <alignment horizontal="center" vertical="center"/>
    </xf>
    <xf numFmtId="0" fontId="195" fillId="34" borderId="134" xfId="0" applyFont="1" applyFill="1" applyBorder="1" applyAlignment="1">
      <alignment horizontal="center"/>
    </xf>
    <xf numFmtId="0" fontId="195" fillId="34" borderId="94" xfId="0" applyFont="1" applyFill="1" applyBorder="1" applyAlignment="1">
      <alignment horizontal="center"/>
    </xf>
    <xf numFmtId="0" fontId="16" fillId="0" borderId="133" xfId="0" applyFont="1" applyBorder="1" applyAlignment="1">
      <alignment horizontal="right" vertical="center"/>
    </xf>
    <xf numFmtId="0" fontId="16" fillId="0" borderId="26" xfId="0" applyFont="1" applyBorder="1" applyAlignment="1">
      <alignment horizontal="right" vertical="center"/>
    </xf>
    <xf numFmtId="0" fontId="19" fillId="6" borderId="41" xfId="0" applyFont="1" applyFill="1" applyBorder="1" applyAlignment="1">
      <alignment horizontal="center" vertical="center"/>
    </xf>
    <xf numFmtId="0" fontId="19" fillId="6" borderId="29" xfId="0" applyFont="1" applyFill="1" applyBorder="1" applyAlignment="1">
      <alignment horizontal="center" vertical="center"/>
    </xf>
    <xf numFmtId="0" fontId="229" fillId="5" borderId="41" xfId="0" applyFont="1" applyFill="1" applyBorder="1" applyAlignment="1">
      <alignment horizontal="center" vertical="center"/>
    </xf>
    <xf numFmtId="0" fontId="229" fillId="5" borderId="17" xfId="0" applyFont="1" applyFill="1" applyBorder="1" applyAlignment="1">
      <alignment horizontal="center" vertical="center"/>
    </xf>
    <xf numFmtId="0" fontId="229" fillId="5" borderId="29" xfId="0" applyFont="1" applyFill="1" applyBorder="1" applyAlignment="1">
      <alignment horizontal="center" vertical="center"/>
    </xf>
    <xf numFmtId="0" fontId="232" fillId="0" borderId="41" xfId="0" applyFont="1" applyBorder="1" applyAlignment="1">
      <alignment horizontal="center" vertical="center" wrapText="1"/>
    </xf>
    <xf numFmtId="0" fontId="232" fillId="0" borderId="29" xfId="0" applyFont="1" applyBorder="1" applyAlignment="1">
      <alignment horizontal="center" vertical="center" wrapText="1"/>
    </xf>
    <xf numFmtId="0" fontId="232" fillId="0" borderId="17" xfId="0" applyFont="1" applyBorder="1" applyAlignment="1">
      <alignment horizontal="center" vertical="center" wrapText="1"/>
    </xf>
    <xf numFmtId="0" fontId="253" fillId="16" borderId="128" xfId="0" applyFont="1" applyFill="1" applyBorder="1" applyAlignment="1">
      <alignment horizontal="center" vertical="top" wrapText="1"/>
    </xf>
    <xf numFmtId="0" fontId="253" fillId="16" borderId="117" xfId="0" applyFont="1" applyFill="1" applyBorder="1" applyAlignment="1">
      <alignment horizontal="center" vertical="top" wrapText="1"/>
    </xf>
    <xf numFmtId="0" fontId="253" fillId="16" borderId="145" xfId="0" applyFont="1" applyFill="1" applyBorder="1" applyAlignment="1">
      <alignment horizontal="center" vertical="top" wrapText="1"/>
    </xf>
    <xf numFmtId="0" fontId="350" fillId="20" borderId="0" xfId="0" applyFont="1" applyFill="1" applyAlignment="1">
      <alignment horizontal="right"/>
    </xf>
    <xf numFmtId="0" fontId="229" fillId="5" borderId="15" xfId="0" applyFont="1" applyFill="1" applyBorder="1" applyAlignment="1">
      <alignment horizontal="center" vertical="center"/>
    </xf>
    <xf numFmtId="0" fontId="229" fillId="5" borderId="37" xfId="0" applyFont="1" applyFill="1" applyBorder="1" applyAlignment="1">
      <alignment horizontal="center" vertical="center"/>
    </xf>
    <xf numFmtId="0" fontId="266" fillId="0" borderId="45" xfId="0" applyFont="1" applyBorder="1" applyAlignment="1">
      <alignment horizontal="left" vertical="center"/>
    </xf>
    <xf numFmtId="0" fontId="266" fillId="0" borderId="94" xfId="0" applyFont="1" applyBorder="1" applyAlignment="1">
      <alignment horizontal="left" vertical="center"/>
    </xf>
    <xf numFmtId="0" fontId="266" fillId="0" borderId="24" xfId="0" applyFont="1" applyBorder="1" applyAlignment="1">
      <alignment horizontal="left" vertical="center"/>
    </xf>
    <xf numFmtId="0" fontId="266" fillId="0" borderId="22" xfId="0" applyFont="1" applyBorder="1" applyAlignment="1">
      <alignment horizontal="left" vertical="center"/>
    </xf>
    <xf numFmtId="0" fontId="239" fillId="0" borderId="9" xfId="0" applyFont="1" applyBorder="1" applyAlignment="1">
      <alignment horizontal="left" vertical="center"/>
    </xf>
    <xf numFmtId="0" fontId="239" fillId="0" borderId="23" xfId="0" applyFont="1" applyBorder="1" applyAlignment="1">
      <alignment horizontal="left" vertical="center"/>
    </xf>
    <xf numFmtId="0" fontId="342" fillId="5" borderId="94" xfId="0" applyFont="1" applyFill="1" applyBorder="1" applyAlignment="1">
      <alignment horizontal="center" wrapText="1"/>
    </xf>
    <xf numFmtId="0" fontId="342" fillId="5" borderId="22" xfId="0" applyFont="1" applyFill="1" applyBorder="1" applyAlignment="1">
      <alignment horizontal="center" wrapText="1"/>
    </xf>
    <xf numFmtId="0" fontId="232" fillId="0" borderId="129" xfId="0" applyFont="1" applyBorder="1" applyAlignment="1">
      <alignment horizontal="center" vertical="center" wrapText="1"/>
    </xf>
    <xf numFmtId="0" fontId="232" fillId="0" borderId="138" xfId="0" applyFont="1" applyBorder="1" applyAlignment="1">
      <alignment horizontal="center" vertical="center" wrapText="1"/>
    </xf>
    <xf numFmtId="0" fontId="232" fillId="0" borderId="44" xfId="0" applyFont="1" applyBorder="1" applyAlignment="1">
      <alignment horizontal="center" vertical="center" wrapText="1"/>
    </xf>
    <xf numFmtId="0" fontId="232" fillId="0" borderId="25" xfId="0" applyFont="1" applyBorder="1" applyAlignment="1">
      <alignment horizontal="center" vertical="center" wrapText="1"/>
    </xf>
    <xf numFmtId="0" fontId="232" fillId="0" borderId="129" xfId="0" applyFont="1" applyBorder="1" applyAlignment="1">
      <alignment horizontal="center" vertical="center"/>
    </xf>
    <xf numFmtId="0" fontId="232" fillId="0" borderId="138" xfId="0" applyFont="1" applyBorder="1" applyAlignment="1">
      <alignment horizontal="center" vertical="center"/>
    </xf>
    <xf numFmtId="0" fontId="232" fillId="0" borderId="44" xfId="0" applyFont="1" applyBorder="1" applyAlignment="1">
      <alignment horizontal="center" vertical="center"/>
    </xf>
    <xf numFmtId="0" fontId="232" fillId="0" borderId="25" xfId="0" applyFont="1" applyBorder="1" applyAlignment="1">
      <alignment horizontal="center" vertical="center"/>
    </xf>
    <xf numFmtId="0" fontId="201" fillId="14" borderId="44" xfId="0" applyFont="1" applyFill="1" applyBorder="1" applyAlignment="1">
      <alignment horizontal="center" vertical="center"/>
    </xf>
    <xf numFmtId="0" fontId="201" fillId="14" borderId="24" xfId="0" applyFont="1" applyFill="1" applyBorder="1" applyAlignment="1">
      <alignment horizontal="center" vertical="center"/>
    </xf>
    <xf numFmtId="0" fontId="201" fillId="14" borderId="22" xfId="0" applyFont="1" applyFill="1" applyBorder="1" applyAlignment="1">
      <alignment horizontal="center" vertical="center"/>
    </xf>
    <xf numFmtId="0" fontId="145" fillId="0" borderId="129" xfId="0" applyFont="1" applyBorder="1" applyAlignment="1">
      <alignment horizontal="right" vertical="center"/>
    </xf>
    <xf numFmtId="0" fontId="145" fillId="0" borderId="45" xfId="0" applyFont="1" applyBorder="1" applyAlignment="1">
      <alignment horizontal="right" vertical="center"/>
    </xf>
    <xf numFmtId="0" fontId="145" fillId="0" borderId="94" xfId="0" applyFont="1" applyBorder="1" applyAlignment="1">
      <alignment horizontal="right" vertical="center"/>
    </xf>
    <xf numFmtId="0" fontId="145" fillId="0" borderId="51" xfId="0" applyFont="1" applyBorder="1" applyAlignment="1">
      <alignment horizontal="right" vertical="center"/>
    </xf>
    <xf numFmtId="0" fontId="145" fillId="0" borderId="0" xfId="0" applyFont="1" applyAlignment="1">
      <alignment horizontal="right" vertical="center"/>
    </xf>
    <xf numFmtId="0" fontId="145" fillId="0" borderId="28" xfId="0" applyFont="1" applyBorder="1" applyAlignment="1">
      <alignment horizontal="right" vertical="center"/>
    </xf>
    <xf numFmtId="0" fontId="145" fillId="0" borderId="186" xfId="0" applyFont="1" applyBorder="1" applyAlignment="1">
      <alignment horizontal="right" vertical="center"/>
    </xf>
    <xf numFmtId="0" fontId="145" fillId="0" borderId="56" xfId="0" applyFont="1" applyBorder="1" applyAlignment="1">
      <alignment horizontal="right" vertical="center"/>
    </xf>
    <xf numFmtId="0" fontId="145" fillId="0" borderId="39" xfId="0" applyFont="1" applyBorder="1" applyAlignment="1">
      <alignment horizontal="right" vertical="center"/>
    </xf>
    <xf numFmtId="0" fontId="14" fillId="0" borderId="129" xfId="0" applyFont="1" applyBorder="1" applyAlignment="1">
      <alignment horizontal="right" vertical="center" wrapText="1"/>
    </xf>
    <xf numFmtId="0" fontId="14" fillId="0" borderId="45" xfId="0" applyFont="1" applyBorder="1" applyAlignment="1">
      <alignment horizontal="right" vertical="center" wrapText="1"/>
    </xf>
    <xf numFmtId="0" fontId="14" fillId="0" borderId="138" xfId="0" applyFont="1" applyBorder="1" applyAlignment="1">
      <alignment horizontal="right" vertical="center" wrapText="1"/>
    </xf>
    <xf numFmtId="0" fontId="14" fillId="0" borderId="51" xfId="0" applyFont="1" applyBorder="1" applyAlignment="1">
      <alignment horizontal="right" vertical="center" wrapText="1"/>
    </xf>
    <xf numFmtId="0" fontId="14" fillId="0" borderId="0" xfId="0" applyFont="1" applyAlignment="1">
      <alignment horizontal="right" vertical="center" wrapText="1"/>
    </xf>
    <xf numFmtId="0" fontId="14" fillId="0" borderId="46" xfId="0" applyFont="1" applyBorder="1" applyAlignment="1">
      <alignment horizontal="right" vertical="center" wrapText="1"/>
    </xf>
    <xf numFmtId="0" fontId="14" fillId="0" borderId="44" xfId="0" applyFont="1" applyBorder="1" applyAlignment="1">
      <alignment horizontal="right" vertical="center" wrapText="1"/>
    </xf>
    <xf numFmtId="0" fontId="14" fillId="0" borderId="24" xfId="0" applyFont="1" applyBorder="1" applyAlignment="1">
      <alignment horizontal="right" vertical="center" wrapText="1"/>
    </xf>
    <xf numFmtId="0" fontId="14" fillId="0" borderId="25" xfId="0" applyFont="1" applyBorder="1" applyAlignment="1">
      <alignment horizontal="right" vertical="center" wrapText="1"/>
    </xf>
    <xf numFmtId="0" fontId="14" fillId="0" borderId="129" xfId="0" applyFont="1" applyBorder="1" applyAlignment="1">
      <alignment horizontal="center" vertical="center"/>
    </xf>
    <xf numFmtId="0" fontId="14" fillId="0" borderId="45" xfId="0" applyFont="1" applyBorder="1" applyAlignment="1">
      <alignment horizontal="center" vertical="center"/>
    </xf>
    <xf numFmtId="0" fontId="14" fillId="0" borderId="138" xfId="0" applyFont="1" applyBorder="1" applyAlignment="1">
      <alignment horizontal="center" vertical="center"/>
    </xf>
    <xf numFmtId="0" fontId="14" fillId="0" borderId="44"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203" fillId="32" borderId="51" xfId="0" applyFont="1" applyFill="1" applyBorder="1" applyAlignment="1">
      <alignment horizontal="left" vertical="center" wrapText="1"/>
    </xf>
    <xf numFmtId="0" fontId="203" fillId="32" borderId="0" xfId="0" applyFont="1" applyFill="1" applyAlignment="1">
      <alignment horizontal="left" vertical="center" wrapText="1"/>
    </xf>
    <xf numFmtId="0" fontId="203" fillId="32" borderId="28" xfId="0" applyFont="1" applyFill="1" applyBorder="1" applyAlignment="1">
      <alignment horizontal="left" vertical="center" wrapText="1"/>
    </xf>
    <xf numFmtId="0" fontId="195" fillId="32" borderId="129" xfId="0" applyFont="1" applyFill="1" applyBorder="1" applyAlignment="1">
      <alignment horizontal="center" vertical="center"/>
    </xf>
    <xf numFmtId="0" fontId="195" fillId="32" borderId="45" xfId="0" applyFont="1" applyFill="1" applyBorder="1" applyAlignment="1">
      <alignment horizontal="center" vertical="center"/>
    </xf>
    <xf numFmtId="0" fontId="195" fillId="32" borderId="94" xfId="0" applyFont="1" applyFill="1" applyBorder="1" applyAlignment="1">
      <alignment horizontal="center" vertical="center"/>
    </xf>
    <xf numFmtId="0" fontId="2" fillId="16" borderId="41"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2" fillId="16" borderId="37" xfId="0" applyFont="1" applyFill="1" applyBorder="1" applyAlignment="1">
      <alignment horizontal="center" vertical="center" wrapText="1"/>
    </xf>
    <xf numFmtId="0" fontId="72" fillId="23" borderId="129" xfId="0" applyFont="1" applyFill="1" applyBorder="1" applyAlignment="1">
      <alignment horizontal="center" vertical="center"/>
    </xf>
    <xf numFmtId="0" fontId="72" fillId="23" borderId="45" xfId="0" applyFont="1" applyFill="1" applyBorder="1" applyAlignment="1">
      <alignment horizontal="center" vertical="center"/>
    </xf>
    <xf numFmtId="0" fontId="232" fillId="0" borderId="129" xfId="0" applyFont="1" applyBorder="1" applyAlignment="1">
      <alignment vertical="center" wrapText="1"/>
    </xf>
    <xf numFmtId="0" fontId="232" fillId="0" borderId="138" xfId="0" applyFont="1" applyBorder="1" applyAlignment="1">
      <alignment vertical="center" wrapText="1"/>
    </xf>
    <xf numFmtId="0" fontId="232" fillId="0" borderId="44" xfId="0" applyFont="1" applyBorder="1" applyAlignment="1">
      <alignment vertical="center" wrapText="1"/>
    </xf>
    <xf numFmtId="0" fontId="232" fillId="0" borderId="25" xfId="0" applyFont="1" applyBorder="1" applyAlignment="1">
      <alignment vertical="center" wrapText="1"/>
    </xf>
    <xf numFmtId="0" fontId="19" fillId="6" borderId="17" xfId="0" applyFont="1" applyFill="1" applyBorder="1" applyAlignment="1">
      <alignment horizontal="center" vertical="center"/>
    </xf>
    <xf numFmtId="0" fontId="188" fillId="18" borderId="186" xfId="0" applyFont="1" applyFill="1" applyBorder="1" applyAlignment="1">
      <alignment horizontal="right" vertical="center"/>
    </xf>
    <xf numFmtId="0" fontId="188" fillId="18" borderId="56" xfId="0" applyFont="1" applyFill="1" applyBorder="1" applyAlignment="1">
      <alignment horizontal="right" vertical="center"/>
    </xf>
    <xf numFmtId="0" fontId="311" fillId="22" borderId="144" xfId="0" applyFont="1" applyFill="1" applyBorder="1" applyAlignment="1">
      <alignment horizontal="center" vertical="center" wrapText="1"/>
    </xf>
    <xf numFmtId="0" fontId="311" fillId="22" borderId="84" xfId="0" applyFont="1" applyFill="1" applyBorder="1" applyAlignment="1">
      <alignment horizontal="center" vertical="center" wrapText="1"/>
    </xf>
    <xf numFmtId="0" fontId="276" fillId="14" borderId="51" xfId="0" applyFont="1" applyFill="1" applyBorder="1" applyAlignment="1">
      <alignment horizontal="left" vertical="center"/>
    </xf>
    <xf numFmtId="0" fontId="276" fillId="14" borderId="28" xfId="0" applyFont="1" applyFill="1" applyBorder="1" applyAlignment="1">
      <alignment horizontal="left" vertical="center"/>
    </xf>
    <xf numFmtId="0" fontId="79" fillId="14" borderId="97" xfId="0" applyFont="1" applyFill="1" applyBorder="1" applyAlignment="1">
      <alignment horizontal="center" vertical="center"/>
    </xf>
    <xf numFmtId="0" fontId="79" fillId="14" borderId="139" xfId="0" applyFont="1" applyFill="1" applyBorder="1" applyAlignment="1">
      <alignment horizontal="center" vertical="center"/>
    </xf>
    <xf numFmtId="0" fontId="79" fillId="14" borderId="51" xfId="0" applyFont="1" applyFill="1" applyBorder="1" applyAlignment="1">
      <alignment horizontal="center" vertical="top"/>
    </xf>
    <xf numFmtId="0" fontId="79" fillId="14" borderId="28" xfId="0" applyFont="1" applyFill="1" applyBorder="1" applyAlignment="1">
      <alignment horizontal="center" vertical="top"/>
    </xf>
    <xf numFmtId="0" fontId="69" fillId="0" borderId="0" xfId="0" applyFont="1" applyAlignment="1">
      <alignment vertical="center"/>
    </xf>
    <xf numFmtId="0" fontId="69" fillId="0" borderId="28" xfId="0" applyFont="1" applyBorder="1" applyAlignment="1">
      <alignment vertical="center"/>
    </xf>
    <xf numFmtId="0" fontId="294" fillId="0" borderId="97" xfId="0" applyFont="1" applyBorder="1" applyAlignment="1">
      <alignment horizontal="right" vertical="center" wrapText="1"/>
    </xf>
    <xf numFmtId="0" fontId="172" fillId="0" borderId="120" xfId="0" applyFont="1" applyBorder="1" applyAlignment="1">
      <alignment horizontal="right" vertical="center" wrapText="1"/>
    </xf>
    <xf numFmtId="0" fontId="172" fillId="0" borderId="43" xfId="0" applyFont="1" applyBorder="1" applyAlignment="1">
      <alignment horizontal="right" vertical="center" wrapText="1"/>
    </xf>
    <xf numFmtId="0" fontId="172" fillId="0" borderId="6" xfId="0" applyFont="1" applyBorder="1" applyAlignment="1">
      <alignment horizontal="right" vertical="center" wrapText="1"/>
    </xf>
    <xf numFmtId="0" fontId="374" fillId="20" borderId="188" xfId="0" applyFont="1" applyFill="1" applyBorder="1" applyAlignment="1" applyProtection="1">
      <alignment horizontal="center" vertical="center"/>
      <protection locked="0"/>
    </xf>
    <xf numFmtId="0" fontId="374" fillId="20" borderId="113" xfId="0" applyFont="1" applyFill="1" applyBorder="1" applyAlignment="1" applyProtection="1">
      <alignment horizontal="center" vertical="center"/>
      <protection locked="0"/>
    </xf>
    <xf numFmtId="0" fontId="349" fillId="0" borderId="0" xfId="0" applyFont="1" applyAlignment="1">
      <alignment horizontal="right" vertical="center"/>
    </xf>
    <xf numFmtId="0" fontId="110" fillId="0" borderId="40" xfId="0" applyFont="1" applyBorder="1" applyAlignment="1">
      <alignment horizontal="center" vertical="center"/>
    </xf>
    <xf numFmtId="0" fontId="110" fillId="0" borderId="3" xfId="0" applyFont="1" applyBorder="1" applyAlignment="1">
      <alignment horizontal="center" vertical="center"/>
    </xf>
    <xf numFmtId="0" fontId="110" fillId="0" borderId="4" xfId="0" applyFont="1" applyBorder="1" applyAlignment="1">
      <alignment horizontal="center" vertical="center"/>
    </xf>
    <xf numFmtId="0" fontId="232" fillId="0" borderId="144" xfId="0" applyFont="1" applyBorder="1" applyAlignment="1">
      <alignment horizontal="center" vertical="center" textRotation="90" wrapText="1"/>
    </xf>
    <xf numFmtId="0" fontId="232" fillId="0" borderId="107" xfId="0" applyFont="1" applyBorder="1" applyAlignment="1">
      <alignment horizontal="center" vertical="center" textRotation="90" wrapText="1"/>
    </xf>
    <xf numFmtId="0" fontId="232" fillId="0" borderId="85" xfId="0" applyFont="1" applyBorder="1" applyAlignment="1">
      <alignment horizontal="center" vertical="center" textRotation="90" wrapText="1"/>
    </xf>
    <xf numFmtId="0" fontId="216" fillId="34" borderId="27" xfId="0" applyFont="1" applyFill="1" applyBorder="1" applyAlignment="1">
      <alignment horizontal="center" vertical="top"/>
    </xf>
    <xf numFmtId="0" fontId="216" fillId="34" borderId="22" xfId="0" applyFont="1" applyFill="1" applyBorder="1" applyAlignment="1">
      <alignment horizontal="center" vertical="top"/>
    </xf>
    <xf numFmtId="0" fontId="79" fillId="0" borderId="133" xfId="0" applyFont="1" applyBorder="1" applyAlignment="1">
      <alignment horizontal="right" vertical="center"/>
    </xf>
    <xf numFmtId="0" fontId="79" fillId="0" borderId="26" xfId="0" applyFont="1" applyBorder="1" applyAlignment="1">
      <alignment horizontal="right" vertical="center"/>
    </xf>
    <xf numFmtId="0" fontId="16" fillId="0" borderId="87" xfId="0" applyFont="1" applyBorder="1" applyAlignment="1">
      <alignment horizontal="center" vertical="center"/>
    </xf>
    <xf numFmtId="0" fontId="16" fillId="0" borderId="55" xfId="0" applyFont="1" applyBorder="1" applyAlignment="1">
      <alignment horizontal="center" vertical="center"/>
    </xf>
    <xf numFmtId="0" fontId="230" fillId="0" borderId="42" xfId="0" applyFont="1" applyBorder="1" applyAlignment="1">
      <alignment horizontal="right" vertical="center"/>
    </xf>
    <xf numFmtId="0" fontId="230" fillId="0" borderId="8" xfId="0" applyFont="1" applyBorder="1" applyAlignment="1">
      <alignment horizontal="right" vertical="center"/>
    </xf>
    <xf numFmtId="0" fontId="230" fillId="0" borderId="11" xfId="0" applyFont="1" applyBorder="1" applyAlignment="1">
      <alignment horizontal="right" vertical="center"/>
    </xf>
    <xf numFmtId="0" fontId="235" fillId="0" borderId="41" xfId="0" applyFont="1" applyBorder="1" applyAlignment="1">
      <alignment horizontal="right" vertical="center"/>
    </xf>
    <xf numFmtId="0" fontId="235" fillId="0" borderId="17" xfId="0" applyFont="1" applyBorder="1" applyAlignment="1">
      <alignment horizontal="right" vertical="center"/>
    </xf>
    <xf numFmtId="0" fontId="235" fillId="0" borderId="29" xfId="0" applyFont="1" applyBorder="1" applyAlignment="1">
      <alignment horizontal="right" vertical="center"/>
    </xf>
    <xf numFmtId="0" fontId="232" fillId="0" borderId="51" xfId="0" applyFont="1" applyBorder="1" applyAlignment="1">
      <alignment horizontal="left" vertical="center"/>
    </xf>
    <xf numFmtId="0" fontId="232" fillId="0" borderId="0" xfId="0" applyFont="1" applyAlignment="1">
      <alignment horizontal="left" vertical="center"/>
    </xf>
    <xf numFmtId="0" fontId="232" fillId="0" borderId="44" xfId="0" applyFont="1" applyBorder="1" applyAlignment="1">
      <alignment horizontal="left" vertical="center"/>
    </xf>
    <xf numFmtId="0" fontId="232" fillId="0" borderId="24" xfId="0" applyFont="1" applyBorder="1" applyAlignment="1">
      <alignment horizontal="left" vertical="center"/>
    </xf>
    <xf numFmtId="0" fontId="232" fillId="0" borderId="41" xfId="0" applyFont="1" applyBorder="1" applyAlignment="1">
      <alignment horizontal="center" vertical="center"/>
    </xf>
    <xf numFmtId="0" fontId="232" fillId="0" borderId="29" xfId="0" applyFont="1" applyBorder="1" applyAlignment="1">
      <alignment horizontal="center" vertical="center"/>
    </xf>
    <xf numFmtId="0" fontId="230" fillId="0" borderId="41" xfId="0" applyFont="1" applyBorder="1" applyAlignment="1">
      <alignment horizontal="center" vertical="center" wrapText="1"/>
    </xf>
    <xf numFmtId="0" fontId="230" fillId="0" borderId="29" xfId="0" applyFont="1" applyBorder="1" applyAlignment="1">
      <alignment horizontal="center" vertical="center" wrapText="1"/>
    </xf>
    <xf numFmtId="0" fontId="232" fillId="0" borderId="42" xfId="0" applyFont="1" applyBorder="1" applyAlignment="1">
      <alignment horizontal="center" vertical="center"/>
    </xf>
    <xf numFmtId="0" fontId="232" fillId="0" borderId="11" xfId="0" applyFont="1" applyBorder="1" applyAlignment="1">
      <alignment horizontal="center" vertical="center"/>
    </xf>
    <xf numFmtId="0" fontId="11" fillId="11" borderId="129" xfId="0" applyFont="1" applyFill="1" applyBorder="1" applyAlignment="1">
      <alignment horizontal="center" vertical="center" wrapText="1"/>
    </xf>
    <xf numFmtId="0" fontId="11" fillId="11" borderId="45" xfId="0" applyFont="1" applyFill="1" applyBorder="1" applyAlignment="1">
      <alignment horizontal="center" vertical="center" wrapText="1"/>
    </xf>
    <xf numFmtId="0" fontId="11" fillId="11" borderId="94" xfId="0" applyFont="1" applyFill="1" applyBorder="1" applyAlignment="1">
      <alignment horizontal="center" vertical="center" wrapText="1"/>
    </xf>
    <xf numFmtId="0" fontId="11" fillId="11" borderId="44" xfId="0" applyFont="1" applyFill="1" applyBorder="1" applyAlignment="1">
      <alignment horizontal="center" vertical="center" wrapText="1"/>
    </xf>
    <xf numFmtId="0" fontId="11" fillId="11" borderId="24" xfId="0" applyFont="1" applyFill="1" applyBorder="1" applyAlignment="1">
      <alignment horizontal="center" vertical="center" wrapText="1"/>
    </xf>
    <xf numFmtId="0" fontId="11" fillId="11" borderId="22" xfId="0" applyFont="1" applyFill="1" applyBorder="1" applyAlignment="1">
      <alignment horizontal="center" vertical="center" wrapText="1"/>
    </xf>
    <xf numFmtId="0" fontId="232" fillId="0" borderId="40" xfId="0" applyFont="1" applyBorder="1" applyAlignment="1">
      <alignment horizontal="center" vertical="center"/>
    </xf>
    <xf numFmtId="0" fontId="232" fillId="0" borderId="3" xfId="0" applyFont="1" applyBorder="1" applyAlignment="1">
      <alignment horizontal="center" vertical="center"/>
    </xf>
    <xf numFmtId="0" fontId="232" fillId="0" borderId="19" xfId="0" applyFont="1" applyBorder="1" applyAlignment="1">
      <alignment horizontal="center" vertical="center"/>
    </xf>
    <xf numFmtId="0" fontId="232" fillId="0" borderId="24" xfId="0" applyFont="1" applyBorder="1" applyAlignment="1">
      <alignment horizontal="center" vertical="center"/>
    </xf>
    <xf numFmtId="0" fontId="195" fillId="32" borderId="51" xfId="0" applyFont="1" applyFill="1" applyBorder="1" applyAlignment="1">
      <alignment horizontal="left" vertical="center" indent="2"/>
    </xf>
    <xf numFmtId="0" fontId="195" fillId="32" borderId="0" xfId="0" applyFont="1" applyFill="1" applyAlignment="1">
      <alignment horizontal="left" vertical="center" indent="2"/>
    </xf>
    <xf numFmtId="0" fontId="195" fillId="32" borderId="28" xfId="0" applyFont="1" applyFill="1" applyBorder="1" applyAlignment="1">
      <alignment horizontal="left" vertical="center" indent="2"/>
    </xf>
    <xf numFmtId="0" fontId="201" fillId="14" borderId="51" xfId="0" applyFont="1" applyFill="1" applyBorder="1" applyAlignment="1">
      <alignment horizontal="center"/>
    </xf>
    <xf numFmtId="0" fontId="201" fillId="14" borderId="0" xfId="0" applyFont="1" applyFill="1" applyAlignment="1">
      <alignment horizontal="center"/>
    </xf>
    <xf numFmtId="0" fontId="201" fillId="14" borderId="28" xfId="0" applyFont="1" applyFill="1" applyBorder="1" applyAlignment="1">
      <alignment horizontal="center"/>
    </xf>
    <xf numFmtId="0" fontId="357" fillId="8" borderId="189" xfId="0" applyFont="1" applyFill="1" applyBorder="1" applyAlignment="1">
      <alignment horizontal="center" vertical="center"/>
    </xf>
    <xf numFmtId="0" fontId="357" fillId="8" borderId="93" xfId="0" applyFont="1" applyFill="1" applyBorder="1" applyAlignment="1">
      <alignment horizontal="center" vertical="center"/>
    </xf>
    <xf numFmtId="0" fontId="296" fillId="9" borderId="51" xfId="0" applyFont="1" applyFill="1" applyBorder="1" applyAlignment="1">
      <alignment horizontal="center" vertical="center"/>
    </xf>
    <xf numFmtId="0" fontId="296" fillId="9" borderId="0" xfId="0" applyFont="1" applyFill="1" applyAlignment="1">
      <alignment horizontal="center" vertical="center"/>
    </xf>
    <xf numFmtId="0" fontId="296" fillId="9" borderId="28" xfId="0" applyFont="1" applyFill="1" applyBorder="1" applyAlignment="1">
      <alignment horizontal="center" vertical="center"/>
    </xf>
    <xf numFmtId="0" fontId="195" fillId="34" borderId="134" xfId="0" applyFont="1" applyFill="1" applyBorder="1" applyAlignment="1">
      <alignment horizontal="center" vertical="center"/>
    </xf>
    <xf numFmtId="0" fontId="195" fillId="34" borderId="94" xfId="0" applyFont="1" applyFill="1" applyBorder="1" applyAlignment="1">
      <alignment horizontal="center" vertical="center"/>
    </xf>
    <xf numFmtId="0" fontId="195" fillId="32" borderId="51" xfId="0" applyFont="1" applyFill="1" applyBorder="1" applyAlignment="1">
      <alignment horizontal="left" vertical="center" indent="1"/>
    </xf>
    <xf numFmtId="0" fontId="195" fillId="32" borderId="0" xfId="0" applyFont="1" applyFill="1" applyAlignment="1">
      <alignment horizontal="left" vertical="center" indent="1"/>
    </xf>
    <xf numFmtId="0" fontId="195" fillId="32" borderId="28" xfId="0" applyFont="1" applyFill="1" applyBorder="1" applyAlignment="1">
      <alignment horizontal="left" vertical="center" indent="1"/>
    </xf>
    <xf numFmtId="0" fontId="106" fillId="29" borderId="144" xfId="0" applyFont="1" applyFill="1" applyBorder="1" applyAlignment="1">
      <alignment horizontal="center" vertical="center" textRotation="90"/>
    </xf>
    <xf numFmtId="0" fontId="106" fillId="29" borderId="107" xfId="0" applyFont="1" applyFill="1" applyBorder="1" applyAlignment="1">
      <alignment horizontal="center" vertical="center" textRotation="90"/>
    </xf>
    <xf numFmtId="0" fontId="106" fillId="29" borderId="123" xfId="0" applyFont="1" applyFill="1" applyBorder="1" applyAlignment="1">
      <alignment horizontal="center" vertical="center" textRotation="90"/>
    </xf>
    <xf numFmtId="0" fontId="269" fillId="0" borderId="87" xfId="0" applyFont="1" applyBorder="1" applyAlignment="1">
      <alignment horizontal="center" vertical="center" wrapText="1"/>
    </xf>
    <xf numFmtId="0" fontId="269" fillId="0" borderId="55" xfId="0" applyFont="1" applyBorder="1" applyAlignment="1">
      <alignment horizontal="center" vertical="center" wrapText="1"/>
    </xf>
    <xf numFmtId="0" fontId="232" fillId="0" borderId="133" xfId="0" applyFont="1" applyBorder="1" applyAlignment="1">
      <alignment horizontal="right" vertical="center"/>
    </xf>
    <xf numFmtId="0" fontId="232" fillId="0" borderId="47" xfId="0" applyFont="1" applyBorder="1" applyAlignment="1">
      <alignment horizontal="right" vertical="center"/>
    </xf>
    <xf numFmtId="0" fontId="232" fillId="0" borderId="2" xfId="0" applyFont="1" applyBorder="1" applyAlignment="1">
      <alignment horizontal="right" vertical="center"/>
    </xf>
    <xf numFmtId="0" fontId="230" fillId="0" borderId="54" xfId="0" applyFont="1" applyBorder="1" applyAlignment="1">
      <alignment horizontal="right" vertical="center"/>
    </xf>
    <xf numFmtId="0" fontId="230" fillId="0" borderId="5" xfId="0" applyFont="1" applyBorder="1" applyAlignment="1">
      <alignment horizontal="right" vertical="center"/>
    </xf>
    <xf numFmtId="0" fontId="230" fillId="0" borderId="12" xfId="0" applyFont="1" applyBorder="1" applyAlignment="1">
      <alignment horizontal="right" vertical="center"/>
    </xf>
    <xf numFmtId="0" fontId="249" fillId="0" borderId="129" xfId="0" applyFont="1" applyBorder="1" applyAlignment="1">
      <alignment horizontal="right" vertical="center" wrapText="1"/>
    </xf>
    <xf numFmtId="0" fontId="249" fillId="0" borderId="45" xfId="0" applyFont="1" applyBorder="1" applyAlignment="1">
      <alignment horizontal="right" vertical="center" wrapText="1"/>
    </xf>
    <xf numFmtId="0" fontId="249" fillId="0" borderId="138" xfId="0" applyFont="1" applyBorder="1" applyAlignment="1">
      <alignment horizontal="right" vertical="center" wrapText="1"/>
    </xf>
    <xf numFmtId="0" fontId="249" fillId="0" borderId="51" xfId="0" applyFont="1" applyBorder="1" applyAlignment="1">
      <alignment horizontal="right" vertical="center" wrapText="1"/>
    </xf>
    <xf numFmtId="0" fontId="249" fillId="0" borderId="0" xfId="0" applyFont="1" applyAlignment="1">
      <alignment horizontal="right" vertical="center" wrapText="1"/>
    </xf>
    <xf numFmtId="0" fontId="249" fillId="0" borderId="46" xfId="0" applyFont="1" applyBorder="1" applyAlignment="1">
      <alignment horizontal="right" vertical="center" wrapText="1"/>
    </xf>
    <xf numFmtId="0" fontId="249" fillId="0" borderId="44" xfId="0" applyFont="1" applyBorder="1" applyAlignment="1">
      <alignment horizontal="right" vertical="center" wrapText="1"/>
    </xf>
    <xf numFmtId="0" fontId="249" fillId="0" borderId="24" xfId="0" applyFont="1" applyBorder="1" applyAlignment="1">
      <alignment horizontal="right" vertical="center" wrapText="1"/>
    </xf>
    <xf numFmtId="0" fontId="249" fillId="0" borderId="25" xfId="0" applyFont="1" applyBorder="1" applyAlignment="1">
      <alignment horizontal="right" vertical="center" wrapText="1"/>
    </xf>
    <xf numFmtId="0" fontId="12" fillId="0" borderId="45" xfId="0" applyFont="1" applyBorder="1" applyAlignment="1">
      <alignment horizontal="left" vertical="center" wrapText="1"/>
    </xf>
    <xf numFmtId="0" fontId="12" fillId="0" borderId="138"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4" fillId="0" borderId="51" xfId="0" applyFont="1" applyBorder="1" applyAlignment="1">
      <alignment horizontal="center" vertical="center" wrapText="1"/>
    </xf>
    <xf numFmtId="0" fontId="14" fillId="0" borderId="28" xfId="0" applyFont="1" applyBorder="1" applyAlignment="1">
      <alignment horizontal="center" vertical="center" wrapText="1"/>
    </xf>
    <xf numFmtId="0" fontId="203" fillId="14" borderId="51" xfId="0" applyFont="1" applyFill="1" applyBorder="1" applyAlignment="1">
      <alignment horizontal="left" vertical="top" wrapText="1"/>
    </xf>
    <xf numFmtId="0" fontId="203" fillId="14" borderId="0" xfId="0" applyFont="1" applyFill="1" applyAlignment="1">
      <alignment horizontal="left" vertical="top" wrapText="1"/>
    </xf>
    <xf numFmtId="0" fontId="203" fillId="14" borderId="28" xfId="0" applyFont="1" applyFill="1" applyBorder="1" applyAlignment="1">
      <alignment horizontal="left" vertical="top" wrapText="1"/>
    </xf>
    <xf numFmtId="0" fontId="201" fillId="14" borderId="51" xfId="0" applyFont="1" applyFill="1" applyBorder="1" applyAlignment="1">
      <alignment horizontal="center" vertical="center"/>
    </xf>
    <xf numFmtId="0" fontId="201" fillId="14" borderId="0" xfId="0" applyFont="1" applyFill="1" applyAlignment="1">
      <alignment horizontal="center" vertical="center"/>
    </xf>
    <xf numFmtId="0" fontId="201" fillId="14" borderId="28" xfId="0" applyFont="1" applyFill="1" applyBorder="1" applyAlignment="1">
      <alignment horizontal="center" vertical="center"/>
    </xf>
    <xf numFmtId="0" fontId="201" fillId="14" borderId="129" xfId="0" applyFont="1" applyFill="1" applyBorder="1" applyAlignment="1">
      <alignment horizontal="center" vertical="center"/>
    </xf>
    <xf numFmtId="0" fontId="201" fillId="14" borderId="45" xfId="0" applyFont="1" applyFill="1" applyBorder="1" applyAlignment="1">
      <alignment horizontal="center" vertical="center"/>
    </xf>
    <xf numFmtId="0" fontId="201" fillId="14" borderId="94" xfId="0" applyFont="1" applyFill="1" applyBorder="1" applyAlignment="1">
      <alignment horizontal="center" vertical="center"/>
    </xf>
    <xf numFmtId="0" fontId="232" fillId="0" borderId="45" xfId="0" applyFont="1" applyBorder="1" applyAlignment="1">
      <alignment horizontal="center" vertical="center"/>
    </xf>
    <xf numFmtId="0" fontId="232" fillId="0" borderId="17" xfId="0" applyFont="1" applyBorder="1" applyAlignment="1">
      <alignment horizontal="center" vertical="center"/>
    </xf>
    <xf numFmtId="165" fontId="235" fillId="0" borderId="9" xfId="0" applyNumberFormat="1" applyFont="1" applyBorder="1" applyAlignment="1">
      <alignment horizontal="center" vertical="center"/>
    </xf>
    <xf numFmtId="165" fontId="235" fillId="0" borderId="11" xfId="0" applyNumberFormat="1" applyFont="1" applyBorder="1" applyAlignment="1">
      <alignment horizontal="center" vertical="center"/>
    </xf>
    <xf numFmtId="0" fontId="232" fillId="0" borderId="44" xfId="0" applyFont="1" applyBorder="1" applyAlignment="1">
      <alignment vertical="center"/>
    </xf>
    <xf numFmtId="0" fontId="232" fillId="0" borderId="24" xfId="0" applyFont="1" applyBorder="1" applyAlignment="1">
      <alignment vertical="center"/>
    </xf>
    <xf numFmtId="0" fontId="232" fillId="0" borderId="25" xfId="0" applyFont="1" applyBorder="1" applyAlignment="1">
      <alignment vertical="center"/>
    </xf>
    <xf numFmtId="0" fontId="232" fillId="0" borderId="45" xfId="0" applyFont="1" applyBorder="1" applyAlignment="1">
      <alignment horizontal="center" vertical="center" wrapText="1"/>
    </xf>
    <xf numFmtId="0" fontId="232" fillId="0" borderId="51" xfId="0" applyFont="1" applyBorder="1" applyAlignment="1">
      <alignment horizontal="center" vertical="center" wrapText="1"/>
    </xf>
    <xf numFmtId="0" fontId="232" fillId="0" borderId="0" xfId="0" applyFont="1" applyAlignment="1">
      <alignment horizontal="center" vertical="center" wrapText="1"/>
    </xf>
    <xf numFmtId="0" fontId="232" fillId="0" borderId="24" xfId="0" applyFont="1" applyBorder="1" applyAlignment="1">
      <alignment horizontal="center" vertical="center" wrapText="1"/>
    </xf>
    <xf numFmtId="0" fontId="106" fillId="12" borderId="40" xfId="0" applyFont="1" applyFill="1" applyBorder="1" applyAlignment="1">
      <alignment horizontal="right" vertical="center"/>
    </xf>
    <xf numFmtId="0" fontId="106" fillId="12" borderId="3" xfId="0" applyFont="1" applyFill="1" applyBorder="1" applyAlignment="1">
      <alignment horizontal="right" vertical="center"/>
    </xf>
    <xf numFmtId="0" fontId="106" fillId="12" borderId="4" xfId="0" applyFont="1" applyFill="1" applyBorder="1" applyAlignment="1">
      <alignment horizontal="right" vertical="center"/>
    </xf>
    <xf numFmtId="0" fontId="66" fillId="8" borderId="44" xfId="0" applyFont="1" applyFill="1" applyBorder="1" applyAlignment="1">
      <alignment vertical="center"/>
    </xf>
    <xf numFmtId="0" fontId="66" fillId="8" borderId="24" xfId="0" applyFont="1" applyFill="1" applyBorder="1" applyAlignment="1">
      <alignment vertical="center"/>
    </xf>
    <xf numFmtId="0" fontId="66" fillId="8" borderId="22" xfId="0" applyFont="1" applyFill="1" applyBorder="1" applyAlignment="1">
      <alignment vertical="center"/>
    </xf>
    <xf numFmtId="0" fontId="227" fillId="0" borderId="24" xfId="0" applyFont="1" applyBorder="1" applyAlignment="1">
      <alignment horizontal="center"/>
    </xf>
    <xf numFmtId="0" fontId="207" fillId="14" borderId="51" xfId="0" applyFont="1" applyFill="1" applyBorder="1" applyAlignment="1">
      <alignment horizontal="left" vertical="center"/>
    </xf>
    <xf numFmtId="0" fontId="207" fillId="14" borderId="0" xfId="0" applyFont="1" applyFill="1" applyAlignment="1">
      <alignment horizontal="left" vertical="center"/>
    </xf>
    <xf numFmtId="0" fontId="207" fillId="14" borderId="28" xfId="0" applyFont="1" applyFill="1" applyBorder="1" applyAlignment="1">
      <alignment horizontal="left" vertical="center"/>
    </xf>
    <xf numFmtId="0" fontId="342" fillId="5" borderId="87" xfId="0" applyFont="1" applyFill="1" applyBorder="1" applyAlignment="1">
      <alignment horizontal="center" wrapText="1"/>
    </xf>
    <xf numFmtId="0" fontId="342" fillId="5" borderId="55" xfId="0" applyFont="1" applyFill="1" applyBorder="1" applyAlignment="1">
      <alignment horizontal="center" wrapText="1"/>
    </xf>
    <xf numFmtId="0" fontId="145" fillId="0" borderId="51" xfId="0" applyFont="1" applyBorder="1" applyAlignment="1">
      <alignment horizontal="right" vertical="center" wrapText="1"/>
    </xf>
    <xf numFmtId="0" fontId="145" fillId="0" borderId="0" xfId="0" applyFont="1" applyAlignment="1">
      <alignment horizontal="right" vertical="center" wrapText="1"/>
    </xf>
    <xf numFmtId="0" fontId="145" fillId="0" borderId="28" xfId="0" applyFont="1" applyBorder="1" applyAlignment="1">
      <alignment horizontal="right" vertical="center" wrapText="1"/>
    </xf>
    <xf numFmtId="0" fontId="232" fillId="0" borderId="46" xfId="0" applyFont="1" applyBorder="1" applyAlignment="1">
      <alignment horizontal="center" vertical="center" wrapText="1"/>
    </xf>
    <xf numFmtId="0" fontId="203" fillId="14" borderId="129" xfId="0" applyFont="1" applyFill="1" applyBorder="1" applyAlignment="1">
      <alignment horizontal="left" vertical="center" wrapText="1"/>
    </xf>
    <xf numFmtId="0" fontId="203" fillId="14" borderId="45" xfId="0" applyFont="1" applyFill="1" applyBorder="1" applyAlignment="1">
      <alignment horizontal="left" vertical="center" wrapText="1"/>
    </xf>
    <xf numFmtId="0" fontId="203" fillId="14" borderId="94" xfId="0" applyFont="1" applyFill="1" applyBorder="1" applyAlignment="1">
      <alignment horizontal="left" vertical="center" wrapText="1"/>
    </xf>
    <xf numFmtId="0" fontId="203" fillId="14" borderId="51" xfId="0" applyFont="1" applyFill="1" applyBorder="1" applyAlignment="1">
      <alignment horizontal="left" vertical="center" wrapText="1"/>
    </xf>
    <xf numFmtId="0" fontId="203" fillId="14" borderId="0" xfId="0" applyFont="1" applyFill="1" applyAlignment="1">
      <alignment horizontal="left" vertical="center" wrapText="1"/>
    </xf>
    <xf numFmtId="0" fontId="203" fillId="14" borderId="28" xfId="0" applyFont="1" applyFill="1" applyBorder="1" applyAlignment="1">
      <alignment horizontal="left" vertical="center" wrapText="1"/>
    </xf>
    <xf numFmtId="0" fontId="12" fillId="6" borderId="129" xfId="0" applyFont="1" applyFill="1" applyBorder="1" applyAlignment="1">
      <alignment horizontal="left" vertical="center" wrapText="1"/>
    </xf>
    <xf numFmtId="0" fontId="12" fillId="6" borderId="45" xfId="0" applyFont="1" applyFill="1" applyBorder="1" applyAlignment="1">
      <alignment horizontal="left" vertical="center" wrapText="1"/>
    </xf>
    <xf numFmtId="0" fontId="12" fillId="6" borderId="186" xfId="0" applyFont="1" applyFill="1" applyBorder="1" applyAlignment="1">
      <alignment horizontal="left" vertical="center" wrapText="1"/>
    </xf>
    <xf numFmtId="0" fontId="12" fillId="6" borderId="56" xfId="0" applyFont="1" applyFill="1" applyBorder="1" applyAlignment="1">
      <alignment horizontal="left" vertical="center" wrapText="1"/>
    </xf>
    <xf numFmtId="0" fontId="273" fillId="15" borderId="0" xfId="0" applyFont="1" applyFill="1" applyAlignment="1">
      <alignment horizontal="center"/>
    </xf>
    <xf numFmtId="0" fontId="207" fillId="14" borderId="51" xfId="0" applyFont="1" applyFill="1" applyBorder="1" applyAlignment="1">
      <alignment horizontal="center" vertical="center"/>
    </xf>
    <xf numFmtId="0" fontId="207" fillId="14" borderId="0" xfId="0" applyFont="1" applyFill="1" applyAlignment="1">
      <alignment horizontal="center" vertical="center"/>
    </xf>
    <xf numFmtId="0" fontId="207" fillId="14" borderId="28" xfId="0" applyFont="1" applyFill="1" applyBorder="1" applyAlignment="1">
      <alignment horizontal="center" vertical="center"/>
    </xf>
    <xf numFmtId="0" fontId="145" fillId="0" borderId="129" xfId="0" applyFont="1" applyBorder="1" applyAlignment="1">
      <alignment horizontal="right" vertical="center" wrapText="1"/>
    </xf>
    <xf numFmtId="0" fontId="145" fillId="0" borderId="45" xfId="0" applyFont="1" applyBorder="1" applyAlignment="1">
      <alignment horizontal="right" vertical="center" wrapText="1"/>
    </xf>
    <xf numFmtId="0" fontId="145" fillId="0" borderId="94" xfId="0" applyFont="1" applyBorder="1" applyAlignment="1">
      <alignment horizontal="right" vertical="center" wrapText="1"/>
    </xf>
    <xf numFmtId="0" fontId="145" fillId="0" borderId="44" xfId="0" applyFont="1" applyBorder="1" applyAlignment="1">
      <alignment horizontal="right" vertical="center" wrapText="1"/>
    </xf>
    <xf numFmtId="0" fontId="145" fillId="0" borderId="24" xfId="0" applyFont="1" applyBorder="1" applyAlignment="1">
      <alignment horizontal="right" vertical="center" wrapText="1"/>
    </xf>
    <xf numFmtId="0" fontId="145" fillId="0" borderId="22" xfId="0" applyFont="1" applyBorder="1" applyAlignment="1">
      <alignment horizontal="right" vertical="center" wrapText="1"/>
    </xf>
    <xf numFmtId="0" fontId="204" fillId="34" borderId="48" xfId="0" applyFont="1" applyFill="1" applyBorder="1" applyAlignment="1">
      <alignment horizontal="left" vertical="center" wrapText="1"/>
    </xf>
    <xf numFmtId="0" fontId="204" fillId="34" borderId="28" xfId="0" applyFont="1" applyFill="1" applyBorder="1" applyAlignment="1">
      <alignment horizontal="left" vertical="center" wrapText="1"/>
    </xf>
    <xf numFmtId="0" fontId="229" fillId="0" borderId="40" xfId="0" applyFont="1" applyBorder="1" applyAlignment="1">
      <alignment horizontal="center" vertical="center"/>
    </xf>
    <xf numFmtId="0" fontId="229" fillId="0" borderId="4" xfId="0" applyFont="1" applyBorder="1" applyAlignment="1">
      <alignment horizontal="center" vertical="center"/>
    </xf>
    <xf numFmtId="0" fontId="203" fillId="32" borderId="186" xfId="0" applyFont="1" applyFill="1" applyBorder="1" applyAlignment="1">
      <alignment horizontal="left" vertical="center" wrapText="1"/>
    </xf>
    <xf numFmtId="0" fontId="203" fillId="32" borderId="56" xfId="0" applyFont="1" applyFill="1" applyBorder="1" applyAlignment="1">
      <alignment horizontal="left" vertical="center" wrapText="1"/>
    </xf>
    <xf numFmtId="0" fontId="203" fillId="32" borderId="39" xfId="0" applyFont="1" applyFill="1" applyBorder="1" applyAlignment="1">
      <alignment horizontal="left" vertical="center" wrapText="1"/>
    </xf>
    <xf numFmtId="0" fontId="216" fillId="32" borderId="44" xfId="0" applyFont="1" applyFill="1" applyBorder="1" applyAlignment="1">
      <alignment horizontal="center" vertical="top"/>
    </xf>
    <xf numFmtId="0" fontId="216" fillId="32" borderId="24" xfId="0" applyFont="1" applyFill="1" applyBorder="1" applyAlignment="1">
      <alignment horizontal="center" vertical="top"/>
    </xf>
    <xf numFmtId="0" fontId="216" fillId="32" borderId="22" xfId="0" applyFont="1" applyFill="1" applyBorder="1" applyAlignment="1">
      <alignment horizontal="center" vertical="top"/>
    </xf>
    <xf numFmtId="0" fontId="195" fillId="32" borderId="51" xfId="0" applyFont="1" applyFill="1" applyBorder="1" applyAlignment="1">
      <alignment horizontal="center" vertical="center"/>
    </xf>
    <xf numFmtId="0" fontId="195" fillId="32" borderId="0" xfId="0" applyFont="1" applyFill="1" applyAlignment="1">
      <alignment horizontal="center" vertical="center"/>
    </xf>
    <xf numFmtId="0" fontId="195" fillId="32" borderId="28" xfId="0" applyFont="1" applyFill="1" applyBorder="1" applyAlignment="1">
      <alignment horizontal="center" vertical="center"/>
    </xf>
    <xf numFmtId="0" fontId="2" fillId="8" borderId="41" xfId="0" applyFont="1" applyFill="1" applyBorder="1" applyAlignment="1">
      <alignment horizontal="center" vertical="center"/>
    </xf>
    <xf numFmtId="0" fontId="2" fillId="8" borderId="17" xfId="0" applyFont="1" applyFill="1" applyBorder="1" applyAlignment="1">
      <alignment horizontal="center" vertical="center"/>
    </xf>
    <xf numFmtId="0" fontId="2" fillId="8" borderId="29" xfId="0" applyFont="1" applyFill="1" applyBorder="1" applyAlignment="1">
      <alignment horizontal="center" vertical="center"/>
    </xf>
    <xf numFmtId="0" fontId="229" fillId="0" borderId="133" xfId="0" applyFont="1" applyBorder="1" applyAlignment="1">
      <alignment horizontal="center" vertical="center"/>
    </xf>
    <xf numFmtId="0" fontId="229" fillId="0" borderId="26" xfId="0" applyFont="1" applyBorder="1" applyAlignment="1">
      <alignment horizontal="center" vertical="center"/>
    </xf>
    <xf numFmtId="0" fontId="232" fillId="0" borderId="40" xfId="0" applyFont="1" applyBorder="1" applyAlignment="1">
      <alignment vertical="center"/>
    </xf>
    <xf numFmtId="0" fontId="232" fillId="0" borderId="3" xfId="0" applyFont="1" applyBorder="1" applyAlignment="1">
      <alignment vertical="center"/>
    </xf>
    <xf numFmtId="0" fontId="232" fillId="0" borderId="19" xfId="0" applyFont="1" applyBorder="1" applyAlignment="1">
      <alignment vertical="center"/>
    </xf>
    <xf numFmtId="0" fontId="232" fillId="0" borderId="51" xfId="0" applyFont="1" applyBorder="1" applyAlignment="1">
      <alignment horizontal="center" vertical="center"/>
    </xf>
    <xf numFmtId="0" fontId="232" fillId="0" borderId="0" xfId="0" applyFont="1" applyAlignment="1">
      <alignment horizontal="center" vertical="center"/>
    </xf>
    <xf numFmtId="0" fontId="232" fillId="0" borderId="46" xfId="0" applyFont="1" applyBorder="1" applyAlignment="1">
      <alignment horizontal="center" vertical="center"/>
    </xf>
    <xf numFmtId="0" fontId="232" fillId="0" borderId="41" xfId="0" applyFont="1" applyBorder="1" applyAlignment="1">
      <alignment vertical="center"/>
    </xf>
    <xf numFmtId="0" fontId="232" fillId="0" borderId="17" xfId="0" applyFont="1" applyBorder="1" applyAlignment="1">
      <alignment vertical="center"/>
    </xf>
    <xf numFmtId="0" fontId="232" fillId="0" borderId="29" xfId="0" applyFont="1" applyBorder="1" applyAlignment="1">
      <alignment vertical="center"/>
    </xf>
    <xf numFmtId="0" fontId="232" fillId="0" borderId="40" xfId="0" applyFont="1" applyBorder="1" applyAlignment="1">
      <alignment horizontal="left" vertical="center"/>
    </xf>
    <xf numFmtId="0" fontId="232" fillId="0" borderId="3" xfId="0" applyFont="1" applyBorder="1" applyAlignment="1">
      <alignment horizontal="left" vertical="center"/>
    </xf>
    <xf numFmtId="0" fontId="232" fillId="0" borderId="19" xfId="0" applyFont="1" applyBorder="1" applyAlignment="1">
      <alignment horizontal="left" vertical="center"/>
    </xf>
    <xf numFmtId="0" fontId="216" fillId="34" borderId="51" xfId="0" applyFont="1" applyFill="1" applyBorder="1" applyAlignment="1">
      <alignment horizontal="center" vertical="center"/>
    </xf>
    <xf numFmtId="0" fontId="216" fillId="34" borderId="0" xfId="0" applyFont="1" applyFill="1" applyAlignment="1">
      <alignment horizontal="center" vertical="center"/>
    </xf>
    <xf numFmtId="0" fontId="216" fillId="34" borderId="46" xfId="0" applyFont="1" applyFill="1" applyBorder="1" applyAlignment="1">
      <alignment horizontal="center" vertical="center"/>
    </xf>
    <xf numFmtId="0" fontId="216" fillId="34" borderId="48" xfId="0" applyFont="1" applyFill="1" applyBorder="1" applyAlignment="1">
      <alignment horizontal="center" vertical="top"/>
    </xf>
    <xf numFmtId="0" fontId="216" fillId="34" borderId="28" xfId="0" applyFont="1" applyFill="1" applyBorder="1" applyAlignment="1">
      <alignment horizontal="center" vertical="top"/>
    </xf>
    <xf numFmtId="0" fontId="236" fillId="0" borderId="107" xfId="0" applyFont="1" applyBorder="1" applyAlignment="1">
      <alignment vertical="top" wrapText="1"/>
    </xf>
    <xf numFmtId="0" fontId="232" fillId="0" borderId="122" xfId="0" applyFont="1" applyBorder="1" applyAlignment="1">
      <alignment horizontal="center" vertical="center" wrapText="1"/>
    </xf>
    <xf numFmtId="0" fontId="232" fillId="0" borderId="127" xfId="0" applyFont="1" applyBorder="1" applyAlignment="1">
      <alignment horizontal="center" vertical="center" wrapText="1"/>
    </xf>
    <xf numFmtId="0" fontId="146" fillId="0" borderId="129" xfId="0" applyFont="1" applyBorder="1" applyAlignment="1">
      <alignment horizontal="right" vertical="center" wrapText="1"/>
    </xf>
    <xf numFmtId="0" fontId="146" fillId="0" borderId="45" xfId="0" applyFont="1" applyBorder="1" applyAlignment="1">
      <alignment horizontal="right" vertical="center" wrapText="1"/>
    </xf>
    <xf numFmtId="0" fontId="146" fillId="0" borderId="94" xfId="0" applyFont="1" applyBorder="1" applyAlignment="1">
      <alignment horizontal="right" vertical="center" wrapText="1"/>
    </xf>
    <xf numFmtId="0" fontId="146" fillId="0" borderId="51" xfId="0" applyFont="1" applyBorder="1" applyAlignment="1">
      <alignment horizontal="right" vertical="center" wrapText="1"/>
    </xf>
    <xf numFmtId="0" fontId="146" fillId="0" borderId="0" xfId="0" applyFont="1" applyAlignment="1">
      <alignment horizontal="right" vertical="center" wrapText="1"/>
    </xf>
    <xf numFmtId="0" fontId="146" fillId="0" borderId="28" xfId="0" applyFont="1" applyBorder="1" applyAlignment="1">
      <alignment horizontal="right" vertical="center" wrapText="1"/>
    </xf>
    <xf numFmtId="0" fontId="146" fillId="0" borderId="44" xfId="0" applyFont="1" applyBorder="1" applyAlignment="1">
      <alignment horizontal="right" vertical="center" wrapText="1"/>
    </xf>
    <xf numFmtId="0" fontId="146" fillId="0" borderId="24" xfId="0" applyFont="1" applyBorder="1" applyAlignment="1">
      <alignment horizontal="right" vertical="center" wrapText="1"/>
    </xf>
    <xf numFmtId="0" fontId="146" fillId="0" borderId="22" xfId="0" applyFont="1" applyBorder="1" applyAlignment="1">
      <alignment horizontal="right" vertical="center" wrapText="1"/>
    </xf>
    <xf numFmtId="0" fontId="195" fillId="34" borderId="44" xfId="0" applyFont="1" applyFill="1" applyBorder="1" applyAlignment="1">
      <alignment horizontal="center" vertical="center"/>
    </xf>
    <xf numFmtId="0" fontId="195" fillId="34" borderId="24" xfId="0" applyFont="1" applyFill="1" applyBorder="1" applyAlignment="1">
      <alignment horizontal="center" vertical="center"/>
    </xf>
    <xf numFmtId="0" fontId="195" fillId="34" borderId="25" xfId="0" applyFont="1" applyFill="1" applyBorder="1" applyAlignment="1">
      <alignment horizontal="center" vertical="center"/>
    </xf>
    <xf numFmtId="0" fontId="195" fillId="34" borderId="129" xfId="0" applyFont="1" applyFill="1" applyBorder="1" applyAlignment="1">
      <alignment horizontal="center" vertical="center"/>
    </xf>
    <xf numFmtId="0" fontId="195" fillId="34" borderId="45" xfId="0" applyFont="1" applyFill="1" applyBorder="1" applyAlignment="1">
      <alignment horizontal="center" vertical="center"/>
    </xf>
    <xf numFmtId="0" fontId="195" fillId="34" borderId="138" xfId="0" applyFont="1" applyFill="1" applyBorder="1" applyAlignment="1">
      <alignment horizontal="center" vertical="center"/>
    </xf>
    <xf numFmtId="49" fontId="96" fillId="14" borderId="42" xfId="0" applyNumberFormat="1" applyFont="1" applyFill="1" applyBorder="1" applyAlignment="1">
      <alignment horizontal="left" vertical="center" indent="1"/>
    </xf>
    <xf numFmtId="49" fontId="96" fillId="14" borderId="11" xfId="0" applyNumberFormat="1" applyFont="1" applyFill="1" applyBorder="1" applyAlignment="1">
      <alignment horizontal="left" vertical="center" indent="1"/>
    </xf>
    <xf numFmtId="0" fontId="2" fillId="0" borderId="129" xfId="0" applyFont="1" applyBorder="1" applyAlignment="1">
      <alignment horizontal="center" vertical="center"/>
    </xf>
    <xf numFmtId="0" fontId="2" fillId="0" borderId="45" xfId="0" applyFont="1" applyBorder="1" applyAlignment="1">
      <alignment horizontal="center" vertical="center"/>
    </xf>
    <xf numFmtId="0" fontId="2" fillId="0" borderId="138" xfId="0" applyFont="1" applyBorder="1" applyAlignment="1">
      <alignment horizontal="center" vertical="center"/>
    </xf>
    <xf numFmtId="0" fontId="2" fillId="0" borderId="51" xfId="0" applyFont="1" applyBorder="1" applyAlignment="1">
      <alignment horizontal="center" vertical="center"/>
    </xf>
    <xf numFmtId="0" fontId="2" fillId="0" borderId="0" xfId="0" applyFont="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35" fillId="26" borderId="62" xfId="0" applyFont="1" applyFill="1" applyBorder="1" applyAlignment="1" applyProtection="1">
      <alignment horizontal="center" vertical="center" wrapText="1"/>
      <protection locked="0"/>
    </xf>
    <xf numFmtId="0" fontId="135" fillId="26" borderId="27" xfId="0" applyFont="1" applyFill="1" applyBorder="1" applyAlignment="1" applyProtection="1">
      <alignment horizontal="center" vertical="center" wrapText="1"/>
      <protection locked="0"/>
    </xf>
    <xf numFmtId="0" fontId="66" fillId="6" borderId="41" xfId="0" applyFont="1" applyFill="1" applyBorder="1" applyAlignment="1">
      <alignment vertical="center"/>
    </xf>
    <xf numFmtId="0" fontId="66" fillId="6" borderId="17" xfId="0" applyFont="1" applyFill="1" applyBorder="1" applyAlignment="1">
      <alignment vertical="center"/>
    </xf>
    <xf numFmtId="0" fontId="195" fillId="32" borderId="51" xfId="0" applyFont="1" applyFill="1" applyBorder="1" applyAlignment="1">
      <alignment horizontal="center"/>
    </xf>
    <xf numFmtId="0" fontId="195" fillId="32" borderId="0" xfId="0" applyFont="1" applyFill="1" applyAlignment="1">
      <alignment horizontal="center"/>
    </xf>
    <xf numFmtId="0" fontId="195" fillId="32" borderId="28" xfId="0" applyFont="1" applyFill="1" applyBorder="1" applyAlignment="1">
      <alignment horizontal="center"/>
    </xf>
    <xf numFmtId="0" fontId="2" fillId="31" borderId="44" xfId="0" applyFont="1" applyFill="1" applyBorder="1" applyAlignment="1">
      <alignment horizontal="center" vertical="center"/>
    </xf>
    <xf numFmtId="0" fontId="2" fillId="31" borderId="24" xfId="0" applyFont="1" applyFill="1" applyBorder="1" applyAlignment="1">
      <alignment horizontal="center" vertical="center"/>
    </xf>
    <xf numFmtId="0" fontId="2" fillId="31" borderId="22" xfId="0" applyFont="1" applyFill="1" applyBorder="1" applyAlignment="1">
      <alignment horizontal="center" vertical="center"/>
    </xf>
    <xf numFmtId="0" fontId="83" fillId="9" borderId="44" xfId="0" applyFont="1" applyFill="1" applyBorder="1" applyAlignment="1">
      <alignment horizontal="center" vertical="center"/>
    </xf>
    <xf numFmtId="0" fontId="83" fillId="9" borderId="24" xfId="0" applyFont="1" applyFill="1" applyBorder="1" applyAlignment="1">
      <alignment horizontal="center" vertical="center"/>
    </xf>
    <xf numFmtId="0" fontId="83" fillId="9" borderId="22" xfId="0" applyFont="1" applyFill="1" applyBorder="1" applyAlignment="1">
      <alignment horizontal="center" vertical="center"/>
    </xf>
    <xf numFmtId="0" fontId="2" fillId="9" borderId="51" xfId="0" applyFont="1" applyFill="1" applyBorder="1" applyAlignment="1">
      <alignment horizontal="center" vertical="center"/>
    </xf>
    <xf numFmtId="0" fontId="2" fillId="9" borderId="0" xfId="0" applyFont="1" applyFill="1" applyAlignment="1">
      <alignment horizontal="center" vertical="center"/>
    </xf>
    <xf numFmtId="0" fontId="2" fillId="9" borderId="28" xfId="0" applyFont="1" applyFill="1" applyBorder="1" applyAlignment="1">
      <alignment horizontal="center" vertical="center"/>
    </xf>
    <xf numFmtId="0" fontId="387" fillId="28" borderId="109" xfId="0" applyFont="1" applyFill="1" applyBorder="1" applyAlignment="1">
      <alignment horizontal="center" vertical="center" textRotation="90"/>
    </xf>
    <xf numFmtId="0" fontId="387" fillId="28" borderId="107" xfId="0" applyFont="1" applyFill="1" applyBorder="1" applyAlignment="1">
      <alignment horizontal="center" vertical="center" textRotation="90"/>
    </xf>
    <xf numFmtId="0" fontId="387" fillId="28" borderId="123" xfId="0" applyFont="1" applyFill="1" applyBorder="1" applyAlignment="1">
      <alignment horizontal="center" vertical="center" textRotation="90"/>
    </xf>
    <xf numFmtId="0" fontId="9" fillId="0" borderId="114" xfId="0" applyFont="1" applyBorder="1" applyAlignment="1">
      <alignment horizontal="right" vertical="center" wrapText="1"/>
    </xf>
    <xf numFmtId="0" fontId="9" fillId="0" borderId="120" xfId="0" applyFont="1" applyBorder="1" applyAlignment="1">
      <alignment horizontal="right" vertical="center" wrapText="1"/>
    </xf>
    <xf numFmtId="0" fontId="201" fillId="34" borderId="51" xfId="0" applyFont="1" applyFill="1" applyBorder="1" applyAlignment="1">
      <alignment horizontal="center" vertical="center"/>
    </xf>
    <xf numFmtId="0" fontId="201" fillId="34" borderId="0" xfId="0" applyFont="1" applyFill="1" applyAlignment="1">
      <alignment horizontal="center" vertical="center"/>
    </xf>
    <xf numFmtId="0" fontId="201" fillId="34" borderId="46" xfId="0" applyFont="1" applyFill="1" applyBorder="1" applyAlignment="1">
      <alignment horizontal="center" vertical="center"/>
    </xf>
    <xf numFmtId="0" fontId="2" fillId="8" borderId="51" xfId="0" applyFont="1" applyFill="1" applyBorder="1" applyAlignment="1">
      <alignment horizontal="center"/>
    </xf>
    <xf numFmtId="0" fontId="2" fillId="8" borderId="0" xfId="0" applyFont="1" applyFill="1" applyAlignment="1">
      <alignment horizontal="center"/>
    </xf>
    <xf numFmtId="0" fontId="2" fillId="8" borderId="46" xfId="0" applyFont="1" applyFill="1" applyBorder="1" applyAlignment="1">
      <alignment horizontal="center"/>
    </xf>
    <xf numFmtId="0" fontId="167" fillId="8" borderId="104" xfId="0" applyFont="1" applyFill="1" applyBorder="1" applyAlignment="1">
      <alignment horizontal="center" vertical="center"/>
    </xf>
    <xf numFmtId="0" fontId="13" fillId="31" borderId="51" xfId="0" applyFont="1" applyFill="1" applyBorder="1" applyAlignment="1">
      <alignment horizontal="center" vertical="center"/>
    </xf>
    <xf numFmtId="0" fontId="13" fillId="31" borderId="0" xfId="0" applyFont="1" applyFill="1" applyAlignment="1">
      <alignment horizontal="center" vertical="center"/>
    </xf>
    <xf numFmtId="0" fontId="13" fillId="31" borderId="28" xfId="0" applyFont="1" applyFill="1" applyBorder="1" applyAlignment="1">
      <alignment horizontal="center" vertical="center"/>
    </xf>
    <xf numFmtId="0" fontId="2" fillId="31" borderId="51" xfId="0" applyFont="1" applyFill="1" applyBorder="1" applyAlignment="1">
      <alignment horizontal="center" vertical="center"/>
    </xf>
    <xf numFmtId="0" fontId="2" fillId="31" borderId="0" xfId="0" applyFont="1" applyFill="1" applyAlignment="1">
      <alignment horizontal="center" vertical="center"/>
    </xf>
    <xf numFmtId="0" fontId="2" fillId="31" borderId="28" xfId="0" applyFont="1" applyFill="1" applyBorder="1" applyAlignment="1">
      <alignment horizontal="center" vertical="center"/>
    </xf>
    <xf numFmtId="0" fontId="135" fillId="26" borderId="3" xfId="0" applyFont="1" applyFill="1" applyBorder="1" applyAlignment="1" applyProtection="1">
      <alignment horizontal="left" vertical="center"/>
      <protection locked="0"/>
    </xf>
    <xf numFmtId="0" fontId="135" fillId="26" borderId="4" xfId="0" applyFont="1" applyFill="1" applyBorder="1" applyAlignment="1" applyProtection="1">
      <alignment horizontal="left" vertical="center"/>
      <protection locked="0"/>
    </xf>
    <xf numFmtId="0" fontId="135" fillId="26" borderId="5" xfId="0" applyFont="1" applyFill="1" applyBorder="1" applyAlignment="1" applyProtection="1">
      <alignment horizontal="left" vertical="center"/>
      <protection locked="0"/>
    </xf>
    <xf numFmtId="0" fontId="135" fillId="26" borderId="13" xfId="0" applyFont="1" applyFill="1" applyBorder="1" applyAlignment="1" applyProtection="1">
      <alignment horizontal="left" vertical="center"/>
      <protection locked="0"/>
    </xf>
    <xf numFmtId="0" fontId="135" fillId="26" borderId="8" xfId="0" applyFont="1" applyFill="1" applyBorder="1" applyAlignment="1" applyProtection="1">
      <alignment vertical="center"/>
      <protection locked="0"/>
    </xf>
    <xf numFmtId="0" fontId="135" fillId="26" borderId="23" xfId="0" applyFont="1" applyFill="1" applyBorder="1" applyAlignment="1" applyProtection="1">
      <alignment vertical="center"/>
      <protection locked="0"/>
    </xf>
    <xf numFmtId="0" fontId="361" fillId="22" borderId="107" xfId="0" applyFont="1" applyFill="1" applyBorder="1" applyAlignment="1">
      <alignment horizontal="center" vertical="center" wrapText="1"/>
    </xf>
    <xf numFmtId="0" fontId="361" fillId="22" borderId="84" xfId="0" applyFont="1" applyFill="1" applyBorder="1" applyAlignment="1">
      <alignment horizontal="center" vertical="center" wrapText="1"/>
    </xf>
    <xf numFmtId="0" fontId="147" fillId="0" borderId="9" xfId="0" applyFont="1" applyBorder="1" applyAlignment="1">
      <alignment horizontal="left" vertical="center"/>
    </xf>
    <xf numFmtId="0" fontId="147" fillId="0" borderId="8" xfId="0" applyFont="1" applyBorder="1" applyAlignment="1">
      <alignment horizontal="left" vertical="center"/>
    </xf>
    <xf numFmtId="0" fontId="148" fillId="0" borderId="138" xfId="0" applyFont="1" applyBorder="1" applyAlignment="1">
      <alignment horizontal="center" vertical="center" wrapText="1"/>
    </xf>
    <xf numFmtId="0" fontId="148" fillId="0" borderId="25" xfId="0" applyFont="1" applyBorder="1" applyAlignment="1">
      <alignment horizontal="center" vertical="center" wrapText="1"/>
    </xf>
    <xf numFmtId="0" fontId="211" fillId="0" borderId="94" xfId="0" applyFont="1" applyBorder="1" applyAlignment="1">
      <alignment horizontal="right" vertical="center" wrapText="1"/>
    </xf>
    <xf numFmtId="0" fontId="211" fillId="0" borderId="18" xfId="0" applyFont="1" applyBorder="1" applyAlignment="1">
      <alignment horizontal="right" vertical="center" wrapText="1"/>
    </xf>
    <xf numFmtId="0" fontId="186" fillId="0" borderId="146" xfId="0" applyFont="1" applyBorder="1" applyAlignment="1">
      <alignment horizontal="right" vertical="center"/>
    </xf>
    <xf numFmtId="0" fontId="186" fillId="0" borderId="124" xfId="0" applyFont="1" applyBorder="1" applyAlignment="1">
      <alignment horizontal="right" vertical="center"/>
    </xf>
    <xf numFmtId="0" fontId="186" fillId="0" borderId="42" xfId="0" applyFont="1" applyBorder="1" applyAlignment="1">
      <alignment horizontal="right" vertical="center"/>
    </xf>
    <xf numFmtId="0" fontId="186" fillId="0" borderId="8" xfId="0" applyFont="1" applyBorder="1" applyAlignment="1">
      <alignment horizontal="right" vertical="center"/>
    </xf>
    <xf numFmtId="0" fontId="2" fillId="22" borderId="129" xfId="0" applyFont="1" applyFill="1" applyBorder="1" applyAlignment="1">
      <alignment horizontal="center" vertical="center" wrapText="1"/>
    </xf>
    <xf numFmtId="0" fontId="2" fillId="22" borderId="45" xfId="0" applyFont="1" applyFill="1" applyBorder="1" applyAlignment="1">
      <alignment horizontal="center" vertical="center" wrapText="1"/>
    </xf>
    <xf numFmtId="0" fontId="2" fillId="22" borderId="94" xfId="0" applyFont="1" applyFill="1" applyBorder="1" applyAlignment="1">
      <alignment horizontal="center" vertical="center" wrapText="1"/>
    </xf>
    <xf numFmtId="0" fontId="2" fillId="22" borderId="51" xfId="0" applyFont="1" applyFill="1" applyBorder="1" applyAlignment="1">
      <alignment horizontal="center" vertical="center" wrapText="1"/>
    </xf>
    <xf numFmtId="0" fontId="2" fillId="22" borderId="0" xfId="0" applyFont="1" applyFill="1" applyAlignment="1">
      <alignment horizontal="center" vertical="center" wrapText="1"/>
    </xf>
    <xf numFmtId="0" fontId="2" fillId="22" borderId="28" xfId="0" applyFont="1" applyFill="1" applyBorder="1" applyAlignment="1">
      <alignment horizontal="center" vertical="center" wrapText="1"/>
    </xf>
    <xf numFmtId="0" fontId="2" fillId="22" borderId="44" xfId="0" applyFont="1" applyFill="1" applyBorder="1" applyAlignment="1">
      <alignment horizontal="center" vertical="center" wrapText="1"/>
    </xf>
    <xf numFmtId="0" fontId="2" fillId="22" borderId="24" xfId="0" applyFont="1" applyFill="1" applyBorder="1" applyAlignment="1">
      <alignment horizontal="center" vertical="center" wrapText="1"/>
    </xf>
    <xf numFmtId="0" fontId="2" fillId="22" borderId="22" xfId="0" applyFont="1" applyFill="1" applyBorder="1" applyAlignment="1">
      <alignment horizontal="center" vertical="center" wrapText="1"/>
    </xf>
    <xf numFmtId="0" fontId="2" fillId="9" borderId="51" xfId="0" applyFont="1" applyFill="1" applyBorder="1" applyAlignment="1">
      <alignment horizontal="center" vertical="top"/>
    </xf>
    <xf numFmtId="0" fontId="2" fillId="9" borderId="0" xfId="0" applyFont="1" applyFill="1" applyAlignment="1">
      <alignment horizontal="center" vertical="top"/>
    </xf>
    <xf numFmtId="0" fontId="2" fillId="9" borderId="28" xfId="0" applyFont="1" applyFill="1" applyBorder="1" applyAlignment="1">
      <alignment horizontal="center" vertical="top"/>
    </xf>
    <xf numFmtId="0" fontId="96" fillId="14" borderId="54" xfId="0" applyFont="1" applyFill="1" applyBorder="1" applyAlignment="1">
      <alignment horizontal="left" vertical="center" indent="1"/>
    </xf>
    <xf numFmtId="0" fontId="96" fillId="14" borderId="12" xfId="0" applyFont="1" applyFill="1" applyBorder="1" applyAlignment="1">
      <alignment horizontal="left" vertical="center" indent="1"/>
    </xf>
    <xf numFmtId="0" fontId="168" fillId="0" borderId="28" xfId="0" applyFont="1" applyBorder="1" applyAlignment="1">
      <alignment horizontal="right" vertical="center" wrapText="1"/>
    </xf>
    <xf numFmtId="0" fontId="168" fillId="0" borderId="18" xfId="0" applyFont="1" applyBorder="1" applyAlignment="1">
      <alignment horizontal="right" vertical="center" wrapText="1"/>
    </xf>
    <xf numFmtId="0" fontId="148" fillId="27" borderId="51" xfId="0" applyFont="1" applyFill="1" applyBorder="1" applyAlignment="1">
      <alignment vertical="center"/>
    </xf>
    <xf numFmtId="0" fontId="148" fillId="27" borderId="28" xfId="0" applyFont="1" applyFill="1" applyBorder="1" applyAlignment="1">
      <alignment vertical="center"/>
    </xf>
    <xf numFmtId="0" fontId="139" fillId="8" borderId="94" xfId="0" applyFont="1" applyFill="1" applyBorder="1" applyAlignment="1">
      <alignment horizontal="center" vertical="center" textRotation="89" wrapText="1"/>
    </xf>
    <xf numFmtId="0" fontId="139" fillId="8" borderId="28" xfId="0" applyFont="1" applyFill="1" applyBorder="1" applyAlignment="1">
      <alignment horizontal="center" vertical="center" textRotation="89" wrapText="1"/>
    </xf>
    <xf numFmtId="0" fontId="139" fillId="8" borderId="22" xfId="0" applyFont="1" applyFill="1" applyBorder="1" applyAlignment="1">
      <alignment horizontal="center" vertical="center" textRotation="89" wrapText="1"/>
    </xf>
    <xf numFmtId="0" fontId="159" fillId="0" borderId="42" xfId="0" applyFont="1" applyBorder="1" applyAlignment="1">
      <alignment horizontal="center" vertical="center"/>
    </xf>
    <xf numFmtId="0" fontId="159" fillId="0" borderId="8" xfId="0" applyFont="1" applyBorder="1" applyAlignment="1">
      <alignment horizontal="center" vertical="center"/>
    </xf>
    <xf numFmtId="0" fontId="159" fillId="0" borderId="23" xfId="0" applyFont="1" applyBorder="1" applyAlignment="1">
      <alignment horizontal="center" vertical="center"/>
    </xf>
    <xf numFmtId="0" fontId="87" fillId="35" borderId="54" xfId="0" applyFont="1" applyFill="1" applyBorder="1" applyAlignment="1">
      <alignment horizontal="center" vertical="center"/>
    </xf>
    <xf numFmtId="0" fontId="87" fillId="35" borderId="5" xfId="0" applyFont="1" applyFill="1" applyBorder="1" applyAlignment="1">
      <alignment horizontal="center" vertical="center"/>
    </xf>
    <xf numFmtId="0" fontId="87" fillId="35" borderId="13" xfId="0" applyFont="1" applyFill="1" applyBorder="1" applyAlignment="1">
      <alignment horizontal="center" vertical="center"/>
    </xf>
    <xf numFmtId="0" fontId="146" fillId="2" borderId="51" xfId="0" applyFont="1" applyFill="1" applyBorder="1" applyAlignment="1">
      <alignment horizontal="left" vertical="center" wrapText="1"/>
    </xf>
    <xf numFmtId="0" fontId="146" fillId="2" borderId="0" xfId="0" applyFont="1" applyFill="1" applyAlignment="1">
      <alignment horizontal="left" vertical="center" wrapText="1"/>
    </xf>
    <xf numFmtId="0" fontId="146" fillId="2" borderId="43" xfId="0" applyFont="1" applyFill="1" applyBorder="1" applyAlignment="1">
      <alignment horizontal="left" vertical="center" wrapText="1"/>
    </xf>
    <xf numFmtId="0" fontId="146" fillId="2" borderId="16" xfId="0" applyFont="1" applyFill="1" applyBorder="1" applyAlignment="1">
      <alignment horizontal="left" vertical="center" wrapText="1"/>
    </xf>
    <xf numFmtId="0" fontId="405" fillId="8" borderId="51" xfId="0" applyFont="1" applyFill="1" applyBorder="1" applyAlignment="1">
      <alignment horizontal="right" vertical="center"/>
    </xf>
    <xf numFmtId="0" fontId="405" fillId="8" borderId="0" xfId="0" applyFont="1" applyFill="1" applyAlignment="1">
      <alignment horizontal="right" vertical="center"/>
    </xf>
    <xf numFmtId="0" fontId="9" fillId="9" borderId="51" xfId="0" applyFont="1" applyFill="1" applyBorder="1" applyAlignment="1">
      <alignment horizontal="center"/>
    </xf>
    <xf numFmtId="0" fontId="9" fillId="9" borderId="0" xfId="0" applyFont="1" applyFill="1" applyAlignment="1">
      <alignment horizontal="center"/>
    </xf>
    <xf numFmtId="0" fontId="9" fillId="9" borderId="28" xfId="0" applyFont="1" applyFill="1" applyBorder="1" applyAlignment="1">
      <alignment horizontal="center"/>
    </xf>
    <xf numFmtId="0" fontId="98" fillId="22" borderId="144" xfId="0" applyFont="1" applyFill="1" applyBorder="1" applyAlignment="1">
      <alignment horizontal="center" vertical="center" wrapText="1"/>
    </xf>
    <xf numFmtId="0" fontId="98" fillId="22" borderId="85" xfId="0" applyFont="1" applyFill="1" applyBorder="1" applyAlignment="1">
      <alignment horizontal="center" vertical="center" wrapText="1"/>
    </xf>
    <xf numFmtId="0" fontId="413" fillId="0" borderId="216" xfId="0" applyFont="1" applyBorder="1" applyAlignment="1">
      <alignment horizontal="center" vertical="top" wrapText="1"/>
    </xf>
    <xf numFmtId="0" fontId="413" fillId="0" borderId="51" xfId="0" applyFont="1" applyBorder="1" applyAlignment="1">
      <alignment horizontal="center" vertical="top" wrapText="1"/>
    </xf>
    <xf numFmtId="0" fontId="106" fillId="5" borderId="43" xfId="0" applyFont="1" applyFill="1" applyBorder="1" applyAlignment="1">
      <alignment horizontal="center"/>
    </xf>
    <xf numFmtId="0" fontId="106" fillId="5" borderId="18" xfId="0" applyFont="1" applyFill="1" applyBorder="1" applyAlignment="1">
      <alignment horizontal="center"/>
    </xf>
    <xf numFmtId="0" fontId="66" fillId="0" borderId="0" xfId="0" applyFont="1" applyAlignment="1">
      <alignment horizontal="left" vertical="center"/>
    </xf>
    <xf numFmtId="0" fontId="232" fillId="5" borderId="129" xfId="0" applyFont="1" applyFill="1" applyBorder="1" applyAlignment="1">
      <alignment horizontal="center" vertical="center" wrapText="1"/>
    </xf>
    <xf numFmtId="0" fontId="232" fillId="5" borderId="94" xfId="0" applyFont="1" applyFill="1" applyBorder="1" applyAlignment="1">
      <alignment horizontal="center" vertical="center" wrapText="1"/>
    </xf>
    <xf numFmtId="0" fontId="232" fillId="5" borderId="43" xfId="0" applyFont="1" applyFill="1" applyBorder="1" applyAlignment="1">
      <alignment horizontal="center" vertical="center" wrapText="1"/>
    </xf>
    <xf numFmtId="0" fontId="232" fillId="5" borderId="18" xfId="0" applyFont="1" applyFill="1" applyBorder="1" applyAlignment="1">
      <alignment horizontal="center" vertical="center" wrapText="1"/>
    </xf>
    <xf numFmtId="0" fontId="244" fillId="5" borderId="44" xfId="0" applyFont="1" applyFill="1" applyBorder="1" applyAlignment="1">
      <alignment horizontal="center" vertical="center" wrapText="1"/>
    </xf>
    <xf numFmtId="0" fontId="244" fillId="5" borderId="22" xfId="0" applyFont="1" applyFill="1" applyBorder="1" applyAlignment="1">
      <alignment horizontal="center" vertical="center" wrapText="1"/>
    </xf>
    <xf numFmtId="165" fontId="232" fillId="0" borderId="40" xfId="0" applyNumberFormat="1" applyFont="1" applyBorder="1" applyAlignment="1">
      <alignment horizontal="center" vertical="center"/>
    </xf>
    <xf numFmtId="165" fontId="232" fillId="0" borderId="4" xfId="0" applyNumberFormat="1" applyFont="1" applyBorder="1" applyAlignment="1">
      <alignment horizontal="center" vertical="center"/>
    </xf>
    <xf numFmtId="165" fontId="232" fillId="0" borderId="54" xfId="0" applyNumberFormat="1" applyFont="1" applyBorder="1" applyAlignment="1">
      <alignment horizontal="center" vertical="center"/>
    </xf>
    <xf numFmtId="165" fontId="232" fillId="0" borderId="13" xfId="0" applyNumberFormat="1" applyFont="1" applyBorder="1" applyAlignment="1">
      <alignment horizontal="center" vertical="center"/>
    </xf>
    <xf numFmtId="165" fontId="232" fillId="0" borderId="42" xfId="0" applyNumberFormat="1" applyFont="1" applyBorder="1" applyAlignment="1">
      <alignment horizontal="center" vertical="center"/>
    </xf>
    <xf numFmtId="165" fontId="232" fillId="0" borderId="23" xfId="0" applyNumberFormat="1" applyFont="1" applyBorder="1" applyAlignment="1">
      <alignment horizontal="center" vertical="center"/>
    </xf>
    <xf numFmtId="166" fontId="230" fillId="0" borderId="3" xfId="0" applyNumberFormat="1" applyFont="1" applyBorder="1" applyAlignment="1">
      <alignment horizontal="center" vertical="center"/>
    </xf>
    <xf numFmtId="166" fontId="230" fillId="0" borderId="4" xfId="0" applyNumberFormat="1" applyFont="1" applyBorder="1" applyAlignment="1">
      <alignment horizontal="center" vertical="center"/>
    </xf>
    <xf numFmtId="177" fontId="244" fillId="17" borderId="9" xfId="0" applyNumberFormat="1" applyFont="1" applyFill="1" applyBorder="1" applyAlignment="1">
      <alignment horizontal="center" vertical="center"/>
    </xf>
    <xf numFmtId="177" fontId="244" fillId="17" borderId="11" xfId="0" applyNumberFormat="1" applyFont="1" applyFill="1" applyBorder="1" applyAlignment="1">
      <alignment horizontal="center" vertical="center"/>
    </xf>
    <xf numFmtId="164" fontId="244" fillId="17" borderId="9" xfId="0" applyNumberFormat="1" applyFont="1" applyFill="1" applyBorder="1" applyAlignment="1">
      <alignment horizontal="center" vertical="center"/>
    </xf>
    <xf numFmtId="164" fontId="244" fillId="17" borderId="11" xfId="0" applyNumberFormat="1" applyFont="1" applyFill="1" applyBorder="1" applyAlignment="1">
      <alignment horizontal="center" vertical="center"/>
    </xf>
    <xf numFmtId="177" fontId="246" fillId="0" borderId="44" xfId="0" applyNumberFormat="1" applyFont="1" applyBorder="1" applyAlignment="1">
      <alignment horizontal="center" vertical="center"/>
    </xf>
    <xf numFmtId="177" fontId="246" fillId="0" borderId="22" xfId="0" applyNumberFormat="1" applyFont="1" applyBorder="1" applyAlignment="1">
      <alignment horizontal="center" vertical="center"/>
    </xf>
    <xf numFmtId="0" fontId="244" fillId="5" borderId="43" xfId="0" applyFont="1" applyFill="1" applyBorder="1" applyAlignment="1">
      <alignment horizontal="center" vertical="center" wrapText="1"/>
    </xf>
    <xf numFmtId="0" fontId="244" fillId="5" borderId="16" xfId="0" applyFont="1" applyFill="1" applyBorder="1" applyAlignment="1">
      <alignment horizontal="center" vertical="center" wrapText="1"/>
    </xf>
    <xf numFmtId="0" fontId="244" fillId="5" borderId="18" xfId="0" applyFont="1" applyFill="1" applyBorder="1" applyAlignment="1">
      <alignment horizontal="center" vertical="center" wrapText="1"/>
    </xf>
    <xf numFmtId="0" fontId="266" fillId="0" borderId="0" xfId="0" applyFont="1" applyAlignment="1">
      <alignment vertical="center" wrapText="1"/>
    </xf>
    <xf numFmtId="0" fontId="266" fillId="0" borderId="28" xfId="0" applyFont="1" applyBorder="1" applyAlignment="1">
      <alignment vertical="center" wrapText="1"/>
    </xf>
    <xf numFmtId="0" fontId="266" fillId="0" borderId="24" xfId="0" applyFont="1" applyBorder="1" applyAlignment="1">
      <alignment vertical="center" wrapText="1"/>
    </xf>
    <xf numFmtId="0" fontId="266" fillId="0" borderId="22" xfId="0" applyFont="1" applyBorder="1" applyAlignment="1">
      <alignment vertical="center" wrapText="1"/>
    </xf>
    <xf numFmtId="0" fontId="232" fillId="5" borderId="144" xfId="0" applyFont="1" applyFill="1" applyBorder="1" applyAlignment="1">
      <alignment horizontal="center" vertical="center" wrapText="1"/>
    </xf>
    <xf numFmtId="0" fontId="232" fillId="5" borderId="84" xfId="0" applyFont="1" applyFill="1" applyBorder="1" applyAlignment="1">
      <alignment horizontal="center" vertical="center" wrapText="1"/>
    </xf>
    <xf numFmtId="0" fontId="232" fillId="5" borderId="3" xfId="0" applyFont="1" applyFill="1" applyBorder="1" applyAlignment="1">
      <alignment horizontal="center" vertical="center" wrapText="1"/>
    </xf>
    <xf numFmtId="0" fontId="232" fillId="5" borderId="4" xfId="0" applyFont="1" applyFill="1" applyBorder="1" applyAlignment="1">
      <alignment horizontal="center" vertical="center" wrapText="1"/>
    </xf>
    <xf numFmtId="0" fontId="232" fillId="5" borderId="45" xfId="0" applyFont="1" applyFill="1" applyBorder="1" applyAlignment="1">
      <alignment horizontal="center" vertical="center" wrapText="1"/>
    </xf>
    <xf numFmtId="0" fontId="232" fillId="5" borderId="16" xfId="0" applyFont="1" applyFill="1" applyBorder="1" applyAlignment="1">
      <alignment horizontal="center" vertical="center" wrapText="1"/>
    </xf>
    <xf numFmtId="0" fontId="249" fillId="0" borderId="129" xfId="0" applyFont="1" applyBorder="1" applyAlignment="1">
      <alignment horizontal="center" vertical="center"/>
    </xf>
    <xf numFmtId="0" fontId="249" fillId="0" borderId="138" xfId="0" applyFont="1" applyBorder="1" applyAlignment="1">
      <alignment horizontal="center" vertical="center"/>
    </xf>
    <xf numFmtId="0" fontId="249" fillId="0" borderId="51" xfId="0" applyFont="1" applyBorder="1" applyAlignment="1">
      <alignment horizontal="center" vertical="center"/>
    </xf>
    <xf numFmtId="0" fontId="249" fillId="0" borderId="46" xfId="0" applyFont="1" applyBorder="1" applyAlignment="1">
      <alignment horizontal="center" vertical="center"/>
    </xf>
    <xf numFmtId="0" fontId="249" fillId="0" borderId="44" xfId="0" applyFont="1" applyBorder="1" applyAlignment="1">
      <alignment horizontal="center" vertical="center"/>
    </xf>
    <xf numFmtId="0" fontId="249" fillId="0" borderId="25" xfId="0" applyFont="1" applyBorder="1" applyAlignment="1">
      <alignment horizontal="center" vertical="center"/>
    </xf>
    <xf numFmtId="188" fontId="232" fillId="0" borderId="15" xfId="0" applyNumberFormat="1" applyFont="1" applyBorder="1" applyAlignment="1">
      <alignment horizontal="center" vertical="center" wrapText="1"/>
    </xf>
    <xf numFmtId="188" fontId="232" fillId="0" borderId="37" xfId="0" applyNumberFormat="1" applyFont="1" applyBorder="1" applyAlignment="1">
      <alignment horizontal="center" vertical="center" wrapText="1"/>
    </xf>
    <xf numFmtId="0" fontId="230" fillId="0" borderId="42" xfId="0" applyFont="1" applyBorder="1" applyAlignment="1">
      <alignment horizontal="center" vertical="center" wrapText="1"/>
    </xf>
    <xf numFmtId="0" fontId="230" fillId="0" borderId="11" xfId="0" applyFont="1" applyBorder="1" applyAlignment="1">
      <alignment horizontal="center" vertical="center" wrapText="1"/>
    </xf>
    <xf numFmtId="0" fontId="104" fillId="0" borderId="0" xfId="0" applyFont="1" applyAlignment="1">
      <alignment horizontal="center" vertical="center" wrapText="1"/>
    </xf>
    <xf numFmtId="0" fontId="15" fillId="0" borderId="0" xfId="0" applyFont="1" applyAlignment="1">
      <alignment horizontal="left" vertical="center"/>
    </xf>
    <xf numFmtId="0" fontId="3" fillId="0" borderId="0" xfId="0" applyFont="1" applyAlignment="1">
      <alignment horizontal="left" vertical="center" wrapText="1"/>
    </xf>
    <xf numFmtId="0" fontId="232" fillId="0" borderId="42" xfId="0" applyFont="1" applyBorder="1" applyAlignment="1">
      <alignment vertical="center"/>
    </xf>
    <xf numFmtId="0" fontId="232" fillId="0" borderId="8" xfId="0" applyFont="1" applyBorder="1" applyAlignment="1">
      <alignment vertical="center"/>
    </xf>
    <xf numFmtId="0" fontId="232" fillId="0" borderId="11" xfId="0" applyFont="1" applyBorder="1" applyAlignment="1">
      <alignment vertical="center"/>
    </xf>
    <xf numFmtId="0" fontId="232" fillId="0" borderId="25" xfId="0" applyFont="1" applyBorder="1" applyAlignment="1">
      <alignment horizontal="left" vertical="center"/>
    </xf>
    <xf numFmtId="0" fontId="232" fillId="0" borderId="51" xfId="0" applyFont="1" applyBorder="1" applyAlignment="1">
      <alignment horizontal="left" vertical="center" wrapText="1"/>
    </xf>
    <xf numFmtId="0" fontId="232" fillId="0" borderId="0" xfId="0" applyFont="1" applyAlignment="1">
      <alignment horizontal="left" vertical="center" wrapText="1"/>
    </xf>
    <xf numFmtId="0" fontId="232" fillId="0" borderId="46" xfId="0" applyFont="1" applyBorder="1" applyAlignment="1">
      <alignment horizontal="left" vertical="center" wrapText="1"/>
    </xf>
    <xf numFmtId="0" fontId="232" fillId="0" borderId="44" xfId="0" applyFont="1" applyBorder="1" applyAlignment="1">
      <alignment horizontal="left" vertical="center" wrapText="1"/>
    </xf>
    <xf numFmtId="0" fontId="232" fillId="0" borderId="24" xfId="0" applyFont="1" applyBorder="1" applyAlignment="1">
      <alignment horizontal="left" vertical="center" wrapText="1"/>
    </xf>
    <xf numFmtId="0" fontId="232" fillId="0" borderId="25" xfId="0" applyFont="1" applyBorder="1" applyAlignment="1">
      <alignment horizontal="left" vertical="center" wrapText="1"/>
    </xf>
    <xf numFmtId="0" fontId="232" fillId="0" borderId="42" xfId="0" applyFont="1" applyBorder="1" applyAlignment="1">
      <alignment horizontal="left" vertical="center"/>
    </xf>
    <xf numFmtId="0" fontId="232" fillId="0" borderId="8" xfId="0" applyFont="1" applyBorder="1" applyAlignment="1">
      <alignment horizontal="left" vertical="center"/>
    </xf>
    <xf numFmtId="0" fontId="232" fillId="0" borderId="11" xfId="0" applyFont="1" applyBorder="1" applyAlignment="1">
      <alignment horizontal="left" vertical="center"/>
    </xf>
    <xf numFmtId="0" fontId="232" fillId="5" borderId="51" xfId="0" applyFont="1" applyFill="1" applyBorder="1" applyAlignment="1">
      <alignment horizontal="center" vertical="center" wrapText="1"/>
    </xf>
    <xf numFmtId="0" fontId="232" fillId="5" borderId="0" xfId="0" applyFont="1" applyFill="1" applyAlignment="1">
      <alignment horizontal="center" vertical="center" wrapText="1"/>
    </xf>
    <xf numFmtId="0" fontId="232" fillId="5" borderId="28" xfId="0" applyFont="1" applyFill="1" applyBorder="1" applyAlignment="1">
      <alignment horizontal="center" vertical="center" wrapText="1"/>
    </xf>
    <xf numFmtId="0" fontId="230" fillId="5" borderId="44" xfId="0" applyFont="1" applyFill="1" applyBorder="1" applyAlignment="1">
      <alignment horizontal="center" vertical="center" wrapText="1"/>
    </xf>
    <xf numFmtId="0" fontId="230" fillId="5" borderId="24" xfId="0" applyFont="1" applyFill="1" applyBorder="1" applyAlignment="1">
      <alignment horizontal="center" vertical="center" wrapText="1"/>
    </xf>
    <xf numFmtId="0" fontId="230" fillId="5" borderId="22" xfId="0" applyFont="1" applyFill="1" applyBorder="1" applyAlignment="1">
      <alignment horizontal="center" vertical="center" wrapText="1"/>
    </xf>
    <xf numFmtId="0" fontId="232" fillId="0" borderId="41" xfId="0" applyFont="1" applyBorder="1" applyAlignment="1">
      <alignment horizontal="right" vertical="center" wrapText="1"/>
    </xf>
    <xf numFmtId="0" fontId="232" fillId="0" borderId="17" xfId="0" applyFont="1" applyBorder="1" applyAlignment="1">
      <alignment horizontal="right" vertical="center" wrapText="1"/>
    </xf>
    <xf numFmtId="0" fontId="232" fillId="0" borderId="87" xfId="0" applyFont="1" applyBorder="1" applyAlignment="1">
      <alignment horizontal="center" vertical="center" wrapText="1"/>
    </xf>
    <xf numFmtId="0" fontId="232" fillId="0" borderId="121" xfId="0" applyFont="1" applyBorder="1" applyAlignment="1">
      <alignment horizontal="center" vertical="center" wrapText="1"/>
    </xf>
    <xf numFmtId="0" fontId="232" fillId="0" borderId="55" xfId="0" applyFont="1" applyBorder="1" applyAlignment="1">
      <alignment horizontal="center" vertical="center" wrapText="1"/>
    </xf>
    <xf numFmtId="0" fontId="229" fillId="0" borderId="129" xfId="0" applyFont="1" applyBorder="1" applyAlignment="1">
      <alignment horizontal="center" vertical="center"/>
    </xf>
    <xf numFmtId="0" fontId="229" fillId="0" borderId="45" xfId="0" applyFont="1" applyBorder="1" applyAlignment="1">
      <alignment horizontal="center" vertical="center"/>
    </xf>
    <xf numFmtId="0" fontId="229" fillId="0" borderId="44" xfId="0" applyFont="1" applyBorder="1" applyAlignment="1">
      <alignment horizontal="center" vertical="center"/>
    </xf>
    <xf numFmtId="0" fontId="229" fillId="0" borderId="24" xfId="0" applyFont="1" applyBorder="1" applyAlignment="1">
      <alignment horizontal="center" vertical="center"/>
    </xf>
    <xf numFmtId="0" fontId="201" fillId="34" borderId="51" xfId="0" applyFont="1" applyFill="1" applyBorder="1" applyAlignment="1">
      <alignment horizontal="left" vertical="center" wrapText="1" indent="1"/>
    </xf>
    <xf numFmtId="0" fontId="201" fillId="34" borderId="0" xfId="0" applyFont="1" applyFill="1" applyAlignment="1">
      <alignment horizontal="left" vertical="center" wrapText="1" indent="1"/>
    </xf>
    <xf numFmtId="0" fontId="201" fillId="34" borderId="46" xfId="0" applyFont="1" applyFill="1" applyBorder="1" applyAlignment="1">
      <alignment horizontal="left" vertical="center" wrapText="1" indent="1"/>
    </xf>
    <xf numFmtId="0" fontId="203" fillId="34" borderId="51" xfId="0" applyFont="1" applyFill="1" applyBorder="1" applyAlignment="1">
      <alignment horizontal="left" vertical="center" wrapText="1"/>
    </xf>
    <xf numFmtId="0" fontId="203" fillId="34" borderId="0" xfId="0" applyFont="1" applyFill="1" applyAlignment="1">
      <alignment horizontal="left" vertical="center" wrapText="1"/>
    </xf>
    <xf numFmtId="0" fontId="203" fillId="34" borderId="46" xfId="0" applyFont="1" applyFill="1" applyBorder="1" applyAlignment="1">
      <alignment horizontal="left" vertical="center" wrapText="1"/>
    </xf>
    <xf numFmtId="0" fontId="230" fillId="0" borderId="15" xfId="0" applyFont="1" applyBorder="1" applyAlignment="1">
      <alignment horizontal="right" vertical="center"/>
    </xf>
    <xf numFmtId="0" fontId="230" fillId="0" borderId="29" xfId="0" applyFont="1" applyBorder="1" applyAlignment="1">
      <alignment horizontal="right" vertical="center"/>
    </xf>
    <xf numFmtId="0" fontId="195" fillId="34" borderId="51" xfId="0" applyFont="1" applyFill="1" applyBorder="1" applyAlignment="1">
      <alignment horizontal="center" vertical="center"/>
    </xf>
    <xf numFmtId="0" fontId="195" fillId="34" borderId="0" xfId="0" applyFont="1" applyFill="1" applyAlignment="1">
      <alignment horizontal="center" vertical="center"/>
    </xf>
    <xf numFmtId="0" fontId="195" fillId="34" borderId="46" xfId="0" applyFont="1" applyFill="1" applyBorder="1" applyAlignment="1">
      <alignment horizontal="center" vertical="center"/>
    </xf>
    <xf numFmtId="0" fontId="201" fillId="34" borderId="129" xfId="0" applyFont="1" applyFill="1" applyBorder="1" applyAlignment="1">
      <alignment horizontal="center" vertical="center"/>
    </xf>
    <xf numFmtId="0" fontId="201" fillId="34" borderId="45" xfId="0" applyFont="1" applyFill="1" applyBorder="1" applyAlignment="1">
      <alignment horizontal="center" vertical="center"/>
    </xf>
    <xf numFmtId="0" fontId="201" fillId="34" borderId="138" xfId="0" applyFont="1" applyFill="1" applyBorder="1" applyAlignment="1">
      <alignment horizontal="center" vertical="center"/>
    </xf>
    <xf numFmtId="0" fontId="227" fillId="0" borderId="0" xfId="0" applyFont="1" applyAlignment="1">
      <alignment horizontal="center"/>
    </xf>
    <xf numFmtId="0" fontId="233" fillId="0" borderId="21" xfId="0" applyFont="1" applyBorder="1" applyAlignment="1">
      <alignment horizontal="left" vertical="center"/>
    </xf>
    <xf numFmtId="0" fontId="233" fillId="0" borderId="4" xfId="0" applyFont="1" applyBorder="1" applyAlignment="1">
      <alignment horizontal="left" vertical="center"/>
    </xf>
    <xf numFmtId="0" fontId="204" fillId="34" borderId="134" xfId="0" applyFont="1" applyFill="1" applyBorder="1" applyAlignment="1">
      <alignment horizontal="left" vertical="center" wrapText="1"/>
    </xf>
    <xf numFmtId="0" fontId="204" fillId="34" borderId="94" xfId="0" applyFont="1" applyFill="1" applyBorder="1" applyAlignment="1">
      <alignment horizontal="left" vertical="center" wrapText="1"/>
    </xf>
    <xf numFmtId="0" fontId="195" fillId="34" borderId="48" xfId="0" applyFont="1" applyFill="1" applyBorder="1" applyAlignment="1">
      <alignment horizontal="center" vertical="top"/>
    </xf>
    <xf numFmtId="0" fontId="195" fillId="34" borderId="28" xfId="0" applyFont="1" applyFill="1" applyBorder="1" applyAlignment="1">
      <alignment horizontal="center" vertical="top"/>
    </xf>
    <xf numFmtId="0" fontId="201" fillId="34" borderId="51" xfId="0" applyFont="1" applyFill="1" applyBorder="1" applyAlignment="1">
      <alignment horizontal="left" vertical="center" indent="1"/>
    </xf>
    <xf numFmtId="0" fontId="201" fillId="34" borderId="0" xfId="0" applyFont="1" applyFill="1" applyAlignment="1">
      <alignment horizontal="left" vertical="center" indent="1"/>
    </xf>
    <xf numFmtId="0" fontId="201" fillId="34" borderId="46" xfId="0" applyFont="1" applyFill="1" applyBorder="1" applyAlignment="1">
      <alignment horizontal="left" vertical="center" indent="1"/>
    </xf>
    <xf numFmtId="0" fontId="203" fillId="34" borderId="129" xfId="0" applyFont="1" applyFill="1" applyBorder="1" applyAlignment="1">
      <alignment horizontal="left" vertical="top" wrapText="1"/>
    </xf>
    <xf numFmtId="0" fontId="203" fillId="34" borderId="45" xfId="0" applyFont="1" applyFill="1" applyBorder="1" applyAlignment="1">
      <alignment horizontal="left" vertical="top" wrapText="1"/>
    </xf>
    <xf numFmtId="0" fontId="203" fillId="34" borderId="138" xfId="0" applyFont="1" applyFill="1" applyBorder="1" applyAlignment="1">
      <alignment horizontal="left" vertical="top" wrapText="1"/>
    </xf>
    <xf numFmtId="0" fontId="203" fillId="34" borderId="51" xfId="0" applyFont="1" applyFill="1" applyBorder="1" applyAlignment="1">
      <alignment horizontal="left" vertical="top" wrapText="1"/>
    </xf>
    <xf numFmtId="0" fontId="203" fillId="34" borderId="0" xfId="0" applyFont="1" applyFill="1" applyAlignment="1">
      <alignment horizontal="left" vertical="top" wrapText="1"/>
    </xf>
    <xf numFmtId="0" fontId="203" fillId="34" borderId="46" xfId="0" applyFont="1" applyFill="1" applyBorder="1" applyAlignment="1">
      <alignment horizontal="left" vertical="top" wrapText="1"/>
    </xf>
    <xf numFmtId="0" fontId="229" fillId="0" borderId="51" xfId="0" applyFont="1" applyBorder="1" applyAlignment="1">
      <alignment horizontal="center" vertical="center"/>
    </xf>
    <xf numFmtId="0" fontId="229" fillId="0" borderId="0" xfId="0" applyFont="1" applyAlignment="1">
      <alignment horizontal="center" vertical="center"/>
    </xf>
    <xf numFmtId="0" fontId="96" fillId="0" borderId="0" xfId="0" applyFont="1" applyAlignment="1">
      <alignment horizontal="left" vertical="top" wrapText="1"/>
    </xf>
    <xf numFmtId="0" fontId="96" fillId="0" borderId="28" xfId="0" applyFont="1" applyBorder="1" applyAlignment="1">
      <alignment horizontal="left" vertical="top" wrapText="1"/>
    </xf>
    <xf numFmtId="0" fontId="376" fillId="30" borderId="51" xfId="0" applyFont="1" applyFill="1" applyBorder="1" applyAlignment="1">
      <alignment horizontal="center" wrapText="1"/>
    </xf>
    <xf numFmtId="0" fontId="376" fillId="30" borderId="28" xfId="0" applyFont="1" applyFill="1" applyBorder="1" applyAlignment="1">
      <alignment horizontal="center" wrapText="1"/>
    </xf>
    <xf numFmtId="0" fontId="376" fillId="30" borderId="51" xfId="0" applyFont="1" applyFill="1" applyBorder="1" applyAlignment="1">
      <alignment horizontal="right" wrapText="1"/>
    </xf>
    <xf numFmtId="0" fontId="376" fillId="30" borderId="28" xfId="0" applyFont="1" applyFill="1" applyBorder="1" applyAlignment="1">
      <alignment horizontal="right" wrapText="1"/>
    </xf>
    <xf numFmtId="0" fontId="230" fillId="0" borderId="10" xfId="0" applyFont="1" applyBorder="1" applyAlignment="1">
      <alignment vertical="center"/>
    </xf>
    <xf numFmtId="0" fontId="230" fillId="0" borderId="5" xfId="0" applyFont="1" applyBorder="1" applyAlignment="1">
      <alignment vertical="center"/>
    </xf>
    <xf numFmtId="0" fontId="2" fillId="0" borderId="188" xfId="0" applyFont="1" applyBorder="1" applyAlignment="1">
      <alignment horizontal="center" vertical="center"/>
    </xf>
    <xf numFmtId="0" fontId="2" fillId="0" borderId="132" xfId="0" applyFont="1" applyBorder="1" applyAlignment="1">
      <alignment horizontal="center" vertical="center"/>
    </xf>
    <xf numFmtId="0" fontId="2" fillId="0" borderId="195" xfId="0" applyFont="1" applyBorder="1" applyAlignment="1">
      <alignment horizontal="center" vertical="center"/>
    </xf>
    <xf numFmtId="0" fontId="2" fillId="0" borderId="143" xfId="0" applyFont="1" applyBorder="1" applyAlignment="1">
      <alignment horizontal="center" vertical="center"/>
    </xf>
    <xf numFmtId="0" fontId="2" fillId="0" borderId="113" xfId="0" applyFont="1" applyBorder="1" applyAlignment="1">
      <alignment horizontal="center" vertical="center"/>
    </xf>
    <xf numFmtId="0" fontId="162" fillId="14" borderId="51" xfId="0" applyFont="1" applyFill="1" applyBorder="1" applyAlignment="1">
      <alignment horizontal="left" vertical="center"/>
    </xf>
    <xf numFmtId="0" fontId="162" fillId="14" borderId="28" xfId="0" applyFont="1" applyFill="1" applyBorder="1" applyAlignment="1">
      <alignment horizontal="left" vertical="center"/>
    </xf>
    <xf numFmtId="0" fontId="145" fillId="5" borderId="129" xfId="0" applyFont="1" applyFill="1" applyBorder="1" applyAlignment="1">
      <alignment horizontal="center" vertical="center"/>
    </xf>
    <xf numFmtId="0" fontId="145" fillId="5" borderId="94" xfId="0" applyFont="1" applyFill="1" applyBorder="1" applyAlignment="1">
      <alignment horizontal="center" vertical="center"/>
    </xf>
    <xf numFmtId="0" fontId="162" fillId="12" borderId="107" xfId="0" applyFont="1" applyFill="1" applyBorder="1" applyAlignment="1">
      <alignment horizontal="center" wrapText="1"/>
    </xf>
    <xf numFmtId="0" fontId="329" fillId="6" borderId="56" xfId="0" applyFont="1" applyFill="1" applyBorder="1" applyAlignment="1">
      <alignment horizontal="center" vertical="top"/>
    </xf>
    <xf numFmtId="0" fontId="329" fillId="6" borderId="39" xfId="0" applyFont="1" applyFill="1" applyBorder="1" applyAlignment="1">
      <alignment horizontal="center" vertical="top"/>
    </xf>
    <xf numFmtId="0" fontId="14" fillId="8" borderId="48" xfId="0" applyFont="1" applyFill="1" applyBorder="1" applyAlignment="1">
      <alignment horizontal="center" vertical="center"/>
    </xf>
    <xf numFmtId="0" fontId="14" fillId="8" borderId="28" xfId="0" applyFont="1" applyFill="1" applyBorder="1" applyAlignment="1">
      <alignment horizontal="center" vertical="center"/>
    </xf>
    <xf numFmtId="0" fontId="211" fillId="20" borderId="107" xfId="0" applyFont="1" applyFill="1" applyBorder="1" applyAlignment="1" applyProtection="1">
      <alignment horizontal="center" vertical="center"/>
      <protection locked="0"/>
    </xf>
    <xf numFmtId="0" fontId="211" fillId="20" borderId="84" xfId="0" applyFont="1" applyFill="1" applyBorder="1" applyAlignment="1" applyProtection="1">
      <alignment horizontal="center" vertical="center"/>
      <protection locked="0"/>
    </xf>
    <xf numFmtId="0" fontId="219" fillId="8" borderId="48" xfId="0" applyFont="1" applyFill="1" applyBorder="1" applyAlignment="1">
      <alignment horizontal="center" vertical="center" wrapText="1"/>
    </xf>
    <xf numFmtId="0" fontId="219" fillId="8" borderId="28" xfId="0" applyFont="1" applyFill="1" applyBorder="1" applyAlignment="1">
      <alignment horizontal="center" vertical="center" wrapText="1"/>
    </xf>
    <xf numFmtId="0" fontId="219" fillId="8" borderId="0" xfId="0" applyFont="1" applyFill="1" applyAlignment="1">
      <alignment horizontal="center" vertical="center" wrapText="1"/>
    </xf>
    <xf numFmtId="0" fontId="187" fillId="20" borderId="94" xfId="0" applyFont="1" applyFill="1" applyBorder="1" applyAlignment="1" applyProtection="1">
      <alignment horizontal="center" vertical="center"/>
      <protection locked="0"/>
    </xf>
    <xf numFmtId="0" fontId="187" fillId="20" borderId="18" xfId="0" applyFont="1" applyFill="1" applyBorder="1" applyAlignment="1" applyProtection="1">
      <alignment horizontal="center" vertical="center"/>
      <protection locked="0"/>
    </xf>
    <xf numFmtId="0" fontId="253" fillId="0" borderId="0" xfId="0" applyFont="1" applyAlignment="1">
      <alignment horizontal="center"/>
    </xf>
    <xf numFmtId="0" fontId="277" fillId="0" borderId="0" xfId="0" applyFont="1" applyAlignment="1">
      <alignment horizontal="center" vertical="top"/>
    </xf>
    <xf numFmtId="0" fontId="30" fillId="0" borderId="0" xfId="0" applyFont="1" applyAlignment="1">
      <alignment horizontal="left" vertical="center" wrapText="1"/>
    </xf>
    <xf numFmtId="0" fontId="30" fillId="0" borderId="28" xfId="0" applyFont="1" applyBorder="1" applyAlignment="1">
      <alignment horizontal="left" vertical="center" wrapText="1"/>
    </xf>
    <xf numFmtId="0" fontId="135" fillId="14" borderId="51" xfId="0" applyFont="1" applyFill="1" applyBorder="1" applyAlignment="1">
      <alignment horizontal="left" vertical="center"/>
    </xf>
    <xf numFmtId="0" fontId="135" fillId="14" borderId="28" xfId="0" applyFont="1" applyFill="1" applyBorder="1" applyAlignment="1">
      <alignment horizontal="left" vertical="center"/>
    </xf>
    <xf numFmtId="0" fontId="168" fillId="8" borderId="17" xfId="0" applyFont="1" applyFill="1" applyBorder="1" applyAlignment="1">
      <alignment horizontal="center" vertical="center"/>
    </xf>
    <xf numFmtId="0" fontId="188" fillId="10" borderId="42" xfId="0" applyFont="1" applyFill="1" applyBorder="1" applyAlignment="1">
      <alignment horizontal="right" vertical="center"/>
    </xf>
    <xf numFmtId="0" fontId="188" fillId="10" borderId="8" xfId="0" applyFont="1" applyFill="1" applyBorder="1" applyAlignment="1">
      <alignment horizontal="right" vertical="center"/>
    </xf>
    <xf numFmtId="0" fontId="14" fillId="0" borderId="17" xfId="0" applyFont="1" applyBorder="1" applyAlignment="1">
      <alignment horizontal="right" vertical="center"/>
    </xf>
    <xf numFmtId="0" fontId="14" fillId="0" borderId="37" xfId="0" applyFont="1" applyBorder="1" applyAlignment="1">
      <alignment horizontal="right" vertical="center"/>
    </xf>
    <xf numFmtId="49" fontId="146" fillId="0" borderId="51" xfId="0" applyNumberFormat="1" applyFont="1" applyBorder="1" applyAlignment="1">
      <alignment horizontal="left" vertical="center"/>
    </xf>
    <xf numFmtId="49" fontId="146" fillId="0" borderId="0" xfId="0" applyNumberFormat="1" applyFont="1" applyAlignment="1">
      <alignment horizontal="left" vertical="center"/>
    </xf>
    <xf numFmtId="49" fontId="146" fillId="0" borderId="43" xfId="0" applyNumberFormat="1" applyFont="1" applyBorder="1" applyAlignment="1">
      <alignment horizontal="left" vertical="center"/>
    </xf>
    <xf numFmtId="49" fontId="146" fillId="0" borderId="16" xfId="0" applyNumberFormat="1" applyFont="1" applyBorder="1" applyAlignment="1">
      <alignment horizontal="left" vertical="center"/>
    </xf>
    <xf numFmtId="0" fontId="216" fillId="32" borderId="44" xfId="0" applyFont="1" applyFill="1" applyBorder="1" applyAlignment="1">
      <alignment horizontal="center"/>
    </xf>
    <xf numFmtId="0" fontId="216" fillId="32" borderId="24" xfId="0" applyFont="1" applyFill="1" applyBorder="1" applyAlignment="1">
      <alignment horizontal="center"/>
    </xf>
    <xf numFmtId="0" fontId="216" fillId="32" borderId="22" xfId="0" applyFont="1" applyFill="1" applyBorder="1" applyAlignment="1">
      <alignment horizontal="center"/>
    </xf>
    <xf numFmtId="0" fontId="216" fillId="34" borderId="44" xfId="0" applyFont="1" applyFill="1" applyBorder="1" applyAlignment="1">
      <alignment horizontal="center" vertical="center"/>
    </xf>
    <xf numFmtId="0" fontId="216" fillId="34" borderId="24" xfId="0" applyFont="1" applyFill="1" applyBorder="1" applyAlignment="1">
      <alignment horizontal="center" vertical="center"/>
    </xf>
    <xf numFmtId="0" fontId="216" fillId="34" borderId="25" xfId="0" applyFont="1" applyFill="1" applyBorder="1" applyAlignment="1">
      <alignment horizontal="center" vertical="center"/>
    </xf>
    <xf numFmtId="0" fontId="19" fillId="6" borderId="15" xfId="0" applyFont="1" applyFill="1" applyBorder="1" applyAlignment="1">
      <alignment horizontal="center" vertical="center"/>
    </xf>
    <xf numFmtId="0" fontId="19" fillId="6" borderId="37" xfId="0" applyFont="1" applyFill="1" applyBorder="1" applyAlignment="1">
      <alignment horizontal="center" vertical="center"/>
    </xf>
    <xf numFmtId="0" fontId="52" fillId="0" borderId="14" xfId="0" applyFont="1" applyBorder="1" applyAlignment="1">
      <alignment horizontal="left" vertical="center"/>
    </xf>
    <xf numFmtId="0" fontId="52" fillId="0" borderId="16" xfId="0" applyFont="1" applyBorder="1" applyAlignment="1">
      <alignment horizontal="left" vertical="center"/>
    </xf>
    <xf numFmtId="0" fontId="52" fillId="0" borderId="18" xfId="0" applyFont="1" applyBorder="1" applyAlignment="1">
      <alignment horizontal="left" vertical="center"/>
    </xf>
    <xf numFmtId="0" fontId="52" fillId="0" borderId="10" xfId="0" applyFont="1" applyBorder="1" applyAlignment="1">
      <alignment horizontal="left" vertical="center"/>
    </xf>
    <xf numFmtId="0" fontId="52" fillId="0" borderId="5" xfId="0" applyFont="1" applyBorder="1" applyAlignment="1">
      <alignment horizontal="left" vertical="center"/>
    </xf>
    <xf numFmtId="0" fontId="52" fillId="0" borderId="13" xfId="0" applyFont="1" applyBorder="1" applyAlignment="1">
      <alignment horizontal="left" vertical="center"/>
    </xf>
    <xf numFmtId="0" fontId="63" fillId="20" borderId="188" xfId="0" applyFont="1" applyFill="1" applyBorder="1" applyAlignment="1" applyProtection="1">
      <alignment horizontal="center" vertical="center"/>
      <protection locked="0"/>
    </xf>
    <xf numFmtId="0" fontId="63" fillId="20" borderId="113" xfId="0" applyFont="1" applyFill="1" applyBorder="1" applyAlignment="1" applyProtection="1">
      <alignment horizontal="center" vertical="center"/>
      <protection locked="0"/>
    </xf>
    <xf numFmtId="0" fontId="13" fillId="8" borderId="51" xfId="0" applyFont="1" applyFill="1" applyBorder="1" applyAlignment="1">
      <alignment horizontal="center" vertical="center"/>
    </xf>
    <xf numFmtId="0" fontId="13" fillId="8" borderId="0" xfId="0" applyFont="1" applyFill="1" applyAlignment="1">
      <alignment horizontal="center" vertical="center"/>
    </xf>
    <xf numFmtId="0" fontId="11" fillId="31" borderId="16" xfId="0" applyFont="1" applyFill="1" applyBorder="1" applyAlignment="1">
      <alignment horizontal="center" vertical="center"/>
    </xf>
    <xf numFmtId="0" fontId="11" fillId="31" borderId="18" xfId="0" applyFont="1" applyFill="1" applyBorder="1" applyAlignment="1">
      <alignment horizontal="center" vertical="center"/>
    </xf>
    <xf numFmtId="0" fontId="11" fillId="5" borderId="43" xfId="0" applyFont="1" applyFill="1" applyBorder="1" applyAlignment="1">
      <alignment horizontal="center"/>
    </xf>
    <xf numFmtId="0" fontId="11" fillId="5" borderId="16" xfId="0" applyFont="1" applyFill="1" applyBorder="1" applyAlignment="1">
      <alignment horizontal="center"/>
    </xf>
    <xf numFmtId="0" fontId="11" fillId="5" borderId="18" xfId="0" applyFont="1" applyFill="1" applyBorder="1" applyAlignment="1">
      <alignment horizontal="center"/>
    </xf>
    <xf numFmtId="0" fontId="154" fillId="0" borderId="0" xfId="0" applyFont="1" applyAlignment="1">
      <alignment horizontal="center" vertical="center" wrapText="1"/>
    </xf>
    <xf numFmtId="0" fontId="154" fillId="0" borderId="1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65" xfId="0" applyFont="1" applyBorder="1" applyAlignment="1">
      <alignment horizontal="center" vertical="center" wrapText="1"/>
    </xf>
    <xf numFmtId="0" fontId="3" fillId="0" borderId="182" xfId="0" applyFont="1" applyBorder="1" applyAlignment="1">
      <alignment horizontal="center" vertical="center" wrapText="1"/>
    </xf>
    <xf numFmtId="0" fontId="13" fillId="3" borderId="170" xfId="0" applyFont="1" applyFill="1" applyBorder="1" applyAlignment="1">
      <alignment horizontal="center" vertical="center" wrapText="1"/>
    </xf>
    <xf numFmtId="0" fontId="13" fillId="3" borderId="64" xfId="0" applyFont="1" applyFill="1" applyBorder="1" applyAlignment="1">
      <alignment horizontal="center" vertical="center" wrapText="1"/>
    </xf>
    <xf numFmtId="0" fontId="13" fillId="3" borderId="93"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71" xfId="0" applyFont="1" applyFill="1" applyBorder="1" applyAlignment="1">
      <alignment horizontal="center" vertical="center" wrapText="1"/>
    </xf>
    <xf numFmtId="0" fontId="13" fillId="3" borderId="172" xfId="0" applyFont="1" applyFill="1" applyBorder="1" applyAlignment="1">
      <alignment horizontal="center" vertical="center" wrapText="1"/>
    </xf>
    <xf numFmtId="0" fontId="3" fillId="3" borderId="173" xfId="0" applyFont="1" applyFill="1" applyBorder="1" applyAlignment="1">
      <alignment horizontal="center" vertical="center" wrapText="1"/>
    </xf>
    <xf numFmtId="0" fontId="3" fillId="3" borderId="174" xfId="0" applyFont="1" applyFill="1" applyBorder="1" applyAlignment="1">
      <alignment horizontal="center" vertical="center" wrapText="1"/>
    </xf>
    <xf numFmtId="0" fontId="3" fillId="3" borderId="175" xfId="0" applyFont="1" applyFill="1" applyBorder="1" applyAlignment="1">
      <alignment horizontal="center" vertical="center" wrapText="1"/>
    </xf>
    <xf numFmtId="0" fontId="3" fillId="3" borderId="177" xfId="0" applyFont="1" applyFill="1" applyBorder="1" applyAlignment="1">
      <alignment horizontal="center" vertical="center" wrapText="1"/>
    </xf>
    <xf numFmtId="0" fontId="3" fillId="3" borderId="178" xfId="0" applyFont="1" applyFill="1" applyBorder="1" applyAlignment="1">
      <alignment horizontal="center" vertical="center" wrapText="1"/>
    </xf>
    <xf numFmtId="0" fontId="3" fillId="3" borderId="176" xfId="0" applyFont="1" applyFill="1" applyBorder="1" applyAlignment="1">
      <alignment horizontal="center" vertical="center" wrapText="1"/>
    </xf>
    <xf numFmtId="0" fontId="3" fillId="3" borderId="179"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65" xfId="0" applyFont="1" applyFill="1" applyBorder="1" applyAlignment="1">
      <alignment horizontal="center" vertical="center" wrapText="1"/>
    </xf>
    <xf numFmtId="0" fontId="3" fillId="0" borderId="129" xfId="0" applyFont="1" applyBorder="1" applyAlignment="1">
      <alignment horizontal="right" vertical="center" wrapText="1"/>
    </xf>
    <xf numFmtId="0" fontId="3" fillId="0" borderId="180" xfId="0" applyFont="1" applyBorder="1" applyAlignment="1">
      <alignment horizontal="right" vertical="center" wrapText="1"/>
    </xf>
    <xf numFmtId="0" fontId="3" fillId="0" borderId="129" xfId="0" applyFont="1" applyBorder="1" applyAlignment="1">
      <alignment horizontal="center" vertical="center"/>
    </xf>
    <xf numFmtId="0" fontId="3" fillId="0" borderId="180" xfId="0" applyFont="1" applyBorder="1" applyAlignment="1">
      <alignment horizontal="center" vertical="center"/>
    </xf>
    <xf numFmtId="0" fontId="3" fillId="0" borderId="44" xfId="0" applyFont="1" applyBorder="1" applyAlignment="1">
      <alignment horizontal="center" vertical="center"/>
    </xf>
    <xf numFmtId="0" fontId="3" fillId="0" borderId="178" xfId="0" applyFont="1" applyBorder="1" applyAlignment="1">
      <alignment horizontal="center" vertical="center"/>
    </xf>
    <xf numFmtId="0" fontId="3" fillId="0" borderId="129" xfId="0" applyFont="1" applyBorder="1" applyAlignment="1">
      <alignment horizontal="center" vertical="center" wrapText="1"/>
    </xf>
    <xf numFmtId="0" fontId="3" fillId="0" borderId="180" xfId="0" applyFont="1" applyBorder="1" applyAlignment="1">
      <alignment horizontal="center" vertical="center" wrapText="1"/>
    </xf>
    <xf numFmtId="0" fontId="3" fillId="0" borderId="44" xfId="0" applyFont="1" applyBorder="1" applyAlignment="1">
      <alignment horizontal="right" vertical="center" wrapText="1"/>
    </xf>
    <xf numFmtId="0" fontId="3" fillId="0" borderId="178" xfId="0" applyFont="1" applyBorder="1" applyAlignment="1">
      <alignment horizontal="right" vertical="center" wrapText="1"/>
    </xf>
    <xf numFmtId="0" fontId="1" fillId="0" borderId="14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144" xfId="0" applyFont="1" applyBorder="1" applyAlignment="1">
      <alignment horizontal="center" vertical="center"/>
    </xf>
    <xf numFmtId="0" fontId="1" fillId="0" borderId="85" xfId="0" applyFont="1" applyBorder="1" applyAlignment="1">
      <alignment horizontal="center" vertical="center"/>
    </xf>
    <xf numFmtId="0" fontId="1" fillId="0" borderId="51" xfId="0" applyFont="1" applyBorder="1" applyAlignment="1">
      <alignment horizontal="left" vertical="center" wrapText="1"/>
    </xf>
    <xf numFmtId="0" fontId="1" fillId="0" borderId="0" xfId="0" applyFont="1" applyAlignment="1">
      <alignment horizontal="left" vertical="center" wrapText="1"/>
    </xf>
    <xf numFmtId="0" fontId="1" fillId="0" borderId="28" xfId="0" applyFont="1" applyBorder="1" applyAlignment="1">
      <alignment horizontal="left" vertical="center" wrapText="1"/>
    </xf>
    <xf numFmtId="0" fontId="1" fillId="0" borderId="44" xfId="0" applyFont="1" applyBorder="1" applyAlignment="1">
      <alignment horizontal="left" vertical="center" wrapText="1"/>
    </xf>
    <xf numFmtId="0" fontId="1" fillId="0" borderId="24" xfId="0" applyFont="1" applyBorder="1" applyAlignment="1">
      <alignment horizontal="left" vertical="center" wrapText="1"/>
    </xf>
    <xf numFmtId="0" fontId="1" fillId="0" borderId="22" xfId="0" applyFont="1" applyBorder="1" applyAlignment="1">
      <alignment horizontal="left" vertical="center" wrapText="1"/>
    </xf>
    <xf numFmtId="0" fontId="1" fillId="0" borderId="107" xfId="0" applyFont="1" applyBorder="1" applyAlignment="1">
      <alignment horizontal="center" vertical="center"/>
    </xf>
    <xf numFmtId="0" fontId="1" fillId="0" borderId="129" xfId="0" applyFont="1" applyBorder="1" applyAlignment="1">
      <alignment horizontal="left" vertical="center" wrapText="1"/>
    </xf>
    <xf numFmtId="0" fontId="1" fillId="0" borderId="45" xfId="0" applyFont="1" applyBorder="1" applyAlignment="1">
      <alignment horizontal="left" vertical="center" wrapText="1"/>
    </xf>
    <xf numFmtId="0" fontId="1" fillId="0" borderId="94" xfId="0" applyFont="1" applyBorder="1" applyAlignment="1">
      <alignment horizontal="left" vertical="center" wrapText="1"/>
    </xf>
    <xf numFmtId="0" fontId="1" fillId="0" borderId="129" xfId="0" applyFont="1" applyBorder="1" applyAlignment="1">
      <alignment horizontal="left" vertical="center"/>
    </xf>
    <xf numFmtId="0" fontId="1" fillId="0" borderId="45" xfId="0" applyFont="1" applyBorder="1" applyAlignment="1">
      <alignment horizontal="left" vertical="center"/>
    </xf>
    <xf numFmtId="0" fontId="1" fillId="0" borderId="44" xfId="0" applyFont="1" applyBorder="1" applyAlignment="1">
      <alignment horizontal="left" vertical="center"/>
    </xf>
    <xf numFmtId="0" fontId="1" fillId="0" borderId="24" xfId="0" applyFont="1" applyBorder="1" applyAlignment="1">
      <alignment horizontal="left" vertical="center"/>
    </xf>
    <xf numFmtId="0" fontId="88" fillId="0" borderId="0" xfId="2" applyFont="1" applyAlignment="1">
      <alignment horizontal="center" vertical="center" wrapText="1"/>
    </xf>
    <xf numFmtId="0" fontId="88" fillId="0" borderId="0" xfId="0" applyFont="1" applyAlignment="1">
      <alignment horizontal="center" vertical="center" wrapText="1"/>
    </xf>
    <xf numFmtId="0" fontId="36" fillId="0" borderId="0" xfId="0" applyFont="1" applyAlignment="1">
      <alignment horizontal="center" wrapText="1"/>
    </xf>
    <xf numFmtId="0" fontId="223" fillId="0" borderId="51" xfId="0" applyFont="1" applyBorder="1" applyAlignment="1">
      <alignment vertical="center" wrapText="1"/>
    </xf>
    <xf numFmtId="0" fontId="223" fillId="0" borderId="0" xfId="0" applyFont="1" applyAlignment="1">
      <alignment vertical="center" wrapText="1"/>
    </xf>
    <xf numFmtId="0" fontId="223" fillId="0" borderId="28" xfId="0" applyFont="1" applyBorder="1" applyAlignment="1">
      <alignment vertical="center" wrapText="1"/>
    </xf>
    <xf numFmtId="0" fontId="223" fillId="0" borderId="44" xfId="0" applyFont="1" applyBorder="1" applyAlignment="1">
      <alignment vertical="center" wrapText="1"/>
    </xf>
    <xf numFmtId="0" fontId="223" fillId="0" borderId="24" xfId="0" applyFont="1" applyBorder="1" applyAlignment="1">
      <alignment vertical="center" wrapText="1"/>
    </xf>
    <xf numFmtId="0" fontId="223" fillId="0" borderId="22" xfId="0" applyFont="1" applyBorder="1" applyAlignment="1">
      <alignment vertical="center" wrapText="1"/>
    </xf>
    <xf numFmtId="0" fontId="330" fillId="0" borderId="0" xfId="0" applyFont="1" applyAlignment="1">
      <alignment vertical="center"/>
    </xf>
  </cellXfs>
  <cellStyles count="4">
    <cellStyle name="Hyperkobling"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colors>
    <mruColors>
      <color rgb="FFF2F6EA"/>
      <color rgb="FFFFFBF7"/>
      <color rgb="FFD8E9FE"/>
      <color rgb="FF0000FF"/>
      <color rgb="FFFFC1C1"/>
      <color rgb="FFEBF1DE"/>
      <color rgb="FFFFF7FF"/>
      <color rgb="FFF4E7FF"/>
      <color rgb="FFECF8FE"/>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emf"/><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19</xdr:col>
      <xdr:colOff>608223</xdr:colOff>
      <xdr:row>47</xdr:row>
      <xdr:rowOff>11476</xdr:rowOff>
    </xdr:from>
    <xdr:to>
      <xdr:col>22</xdr:col>
      <xdr:colOff>229101</xdr:colOff>
      <xdr:row>48</xdr:row>
      <xdr:rowOff>14556</xdr:rowOff>
    </xdr:to>
    <xdr:pic>
      <xdr:nvPicPr>
        <xdr:cNvPr id="54" name="Bilde 53">
          <a:extLst>
            <a:ext uri="{FF2B5EF4-FFF2-40B4-BE49-F238E27FC236}">
              <a16:creationId xmlns:a16="http://schemas.microsoft.com/office/drawing/2014/main" id="{969AC204-C17A-CC1D-90D6-3D7EF0CD470D}"/>
            </a:ext>
          </a:extLst>
        </xdr:cNvPr>
        <xdr:cNvPicPr>
          <a:picLocks noChangeAspect="1"/>
        </xdr:cNvPicPr>
      </xdr:nvPicPr>
      <xdr:blipFill>
        <a:blip xmlns:r="http://schemas.openxmlformats.org/officeDocument/2006/relationships" r:embed="rId1"/>
        <a:stretch>
          <a:fillRect/>
        </a:stretch>
      </xdr:blipFill>
      <xdr:spPr>
        <a:xfrm>
          <a:off x="14189955" y="7769187"/>
          <a:ext cx="1910321" cy="163742"/>
        </a:xfrm>
        <a:prstGeom prst="rect">
          <a:avLst/>
        </a:prstGeom>
      </xdr:spPr>
    </xdr:pic>
    <xdr:clientData/>
  </xdr:twoCellAnchor>
  <xdr:twoCellAnchor editAs="oneCell">
    <xdr:from>
      <xdr:col>8</xdr:col>
      <xdr:colOff>415848</xdr:colOff>
      <xdr:row>10</xdr:row>
      <xdr:rowOff>74592</xdr:rowOff>
    </xdr:from>
    <xdr:to>
      <xdr:col>16</xdr:col>
      <xdr:colOff>170054</xdr:colOff>
      <xdr:row>26</xdr:row>
      <xdr:rowOff>122975</xdr:rowOff>
    </xdr:to>
    <xdr:pic>
      <xdr:nvPicPr>
        <xdr:cNvPr id="84" name="Bilde 83">
          <a:extLst>
            <a:ext uri="{FF2B5EF4-FFF2-40B4-BE49-F238E27FC236}">
              <a16:creationId xmlns:a16="http://schemas.microsoft.com/office/drawing/2014/main" id="{CB39D15C-1975-C262-0D18-D8537E51CF84}"/>
            </a:ext>
          </a:extLst>
        </xdr:cNvPr>
        <xdr:cNvPicPr>
          <a:picLocks noChangeAspect="1"/>
        </xdr:cNvPicPr>
      </xdr:nvPicPr>
      <xdr:blipFill>
        <a:blip xmlns:r="http://schemas.openxmlformats.org/officeDocument/2006/relationships" r:embed="rId2"/>
        <a:stretch>
          <a:fillRect/>
        </a:stretch>
      </xdr:blipFill>
      <xdr:spPr>
        <a:xfrm>
          <a:off x="6492339" y="1859095"/>
          <a:ext cx="4970004" cy="2601772"/>
        </a:xfrm>
        <a:prstGeom prst="rect">
          <a:avLst/>
        </a:prstGeom>
      </xdr:spPr>
    </xdr:pic>
    <xdr:clientData/>
  </xdr:twoCellAnchor>
  <xdr:twoCellAnchor editAs="oneCell">
    <xdr:from>
      <xdr:col>0</xdr:col>
      <xdr:colOff>342963</xdr:colOff>
      <xdr:row>10</xdr:row>
      <xdr:rowOff>68186</xdr:rowOff>
    </xdr:from>
    <xdr:to>
      <xdr:col>7</xdr:col>
      <xdr:colOff>350015</xdr:colOff>
      <xdr:row>11</xdr:row>
      <xdr:rowOff>46184</xdr:rowOff>
    </xdr:to>
    <xdr:pic>
      <xdr:nvPicPr>
        <xdr:cNvPr id="56" name="Bilde 55">
          <a:extLst>
            <a:ext uri="{FF2B5EF4-FFF2-40B4-BE49-F238E27FC236}">
              <a16:creationId xmlns:a16="http://schemas.microsoft.com/office/drawing/2014/main" id="{BC451716-E938-414F-424D-C193BFC6CB97}"/>
            </a:ext>
          </a:extLst>
        </xdr:cNvPr>
        <xdr:cNvPicPr>
          <a:picLocks noChangeAspect="1"/>
        </xdr:cNvPicPr>
      </xdr:nvPicPr>
      <xdr:blipFill>
        <a:blip xmlns:r="http://schemas.openxmlformats.org/officeDocument/2006/relationships" r:embed="rId3"/>
        <a:stretch>
          <a:fillRect/>
        </a:stretch>
      </xdr:blipFill>
      <xdr:spPr>
        <a:xfrm>
          <a:off x="342963" y="1852689"/>
          <a:ext cx="5349085" cy="121447"/>
        </a:xfrm>
        <a:prstGeom prst="rect">
          <a:avLst/>
        </a:prstGeom>
      </xdr:spPr>
    </xdr:pic>
    <xdr:clientData/>
  </xdr:twoCellAnchor>
  <xdr:twoCellAnchor editAs="oneCell">
    <xdr:from>
      <xdr:col>7</xdr:col>
      <xdr:colOff>464039</xdr:colOff>
      <xdr:row>37</xdr:row>
      <xdr:rowOff>27557</xdr:rowOff>
    </xdr:from>
    <xdr:to>
      <xdr:col>10</xdr:col>
      <xdr:colOff>232881</xdr:colOff>
      <xdr:row>41</xdr:row>
      <xdr:rowOff>152644</xdr:rowOff>
    </xdr:to>
    <xdr:pic>
      <xdr:nvPicPr>
        <xdr:cNvPr id="92" name="Bilde 91">
          <a:extLst>
            <a:ext uri="{FF2B5EF4-FFF2-40B4-BE49-F238E27FC236}">
              <a16:creationId xmlns:a16="http://schemas.microsoft.com/office/drawing/2014/main" id="{DB46479C-347E-2E5B-99F6-3E3127B6C916}"/>
            </a:ext>
          </a:extLst>
        </xdr:cNvPr>
        <xdr:cNvPicPr>
          <a:picLocks noChangeAspect="1"/>
        </xdr:cNvPicPr>
      </xdr:nvPicPr>
      <xdr:blipFill>
        <a:blip xmlns:r="http://schemas.openxmlformats.org/officeDocument/2006/relationships" r:embed="rId4"/>
        <a:stretch>
          <a:fillRect/>
        </a:stretch>
      </xdr:blipFill>
      <xdr:spPr>
        <a:xfrm>
          <a:off x="5806587" y="6237124"/>
          <a:ext cx="1136534" cy="784510"/>
        </a:xfrm>
        <a:prstGeom prst="rect">
          <a:avLst/>
        </a:prstGeom>
      </xdr:spPr>
    </xdr:pic>
    <xdr:clientData/>
  </xdr:twoCellAnchor>
  <xdr:twoCellAnchor editAs="oneCell">
    <xdr:from>
      <xdr:col>0</xdr:col>
      <xdr:colOff>67166</xdr:colOff>
      <xdr:row>35</xdr:row>
      <xdr:rowOff>25149</xdr:rowOff>
    </xdr:from>
    <xdr:to>
      <xdr:col>7</xdr:col>
      <xdr:colOff>381942</xdr:colOff>
      <xdr:row>42</xdr:row>
      <xdr:rowOff>12212</xdr:rowOff>
    </xdr:to>
    <xdr:pic>
      <xdr:nvPicPr>
        <xdr:cNvPr id="91" name="Bilde 90">
          <a:extLst>
            <a:ext uri="{FF2B5EF4-FFF2-40B4-BE49-F238E27FC236}">
              <a16:creationId xmlns:a16="http://schemas.microsoft.com/office/drawing/2014/main" id="{51094E34-9411-144C-FD03-86D1BEDDB322}"/>
            </a:ext>
          </a:extLst>
        </xdr:cNvPr>
        <xdr:cNvPicPr>
          <a:picLocks noChangeAspect="1"/>
        </xdr:cNvPicPr>
      </xdr:nvPicPr>
      <xdr:blipFill>
        <a:blip xmlns:r="http://schemas.openxmlformats.org/officeDocument/2006/relationships" r:embed="rId5"/>
        <a:stretch>
          <a:fillRect/>
        </a:stretch>
      </xdr:blipFill>
      <xdr:spPr>
        <a:xfrm>
          <a:off x="67166" y="5575293"/>
          <a:ext cx="5657324" cy="1141054"/>
        </a:xfrm>
        <a:prstGeom prst="rect">
          <a:avLst/>
        </a:prstGeom>
      </xdr:spPr>
    </xdr:pic>
    <xdr:clientData/>
  </xdr:twoCellAnchor>
  <xdr:twoCellAnchor editAs="oneCell">
    <xdr:from>
      <xdr:col>0</xdr:col>
      <xdr:colOff>107442</xdr:colOff>
      <xdr:row>11</xdr:row>
      <xdr:rowOff>39944</xdr:rowOff>
    </xdr:from>
    <xdr:to>
      <xdr:col>7</xdr:col>
      <xdr:colOff>352264</xdr:colOff>
      <xdr:row>31</xdr:row>
      <xdr:rowOff>28127</xdr:rowOff>
    </xdr:to>
    <xdr:pic>
      <xdr:nvPicPr>
        <xdr:cNvPr id="80" name="Bilde 79">
          <a:extLst>
            <a:ext uri="{FF2B5EF4-FFF2-40B4-BE49-F238E27FC236}">
              <a16:creationId xmlns:a16="http://schemas.microsoft.com/office/drawing/2014/main" id="{7C943DC4-CA91-B7C1-FD52-CE0C3245CECC}"/>
            </a:ext>
          </a:extLst>
        </xdr:cNvPr>
        <xdr:cNvPicPr>
          <a:picLocks noChangeAspect="1"/>
        </xdr:cNvPicPr>
      </xdr:nvPicPr>
      <xdr:blipFill>
        <a:blip xmlns:r="http://schemas.openxmlformats.org/officeDocument/2006/relationships" r:embed="rId6"/>
        <a:stretch>
          <a:fillRect/>
        </a:stretch>
      </xdr:blipFill>
      <xdr:spPr>
        <a:xfrm>
          <a:off x="107442" y="1967896"/>
          <a:ext cx="5586855" cy="3201436"/>
        </a:xfrm>
        <a:prstGeom prst="rect">
          <a:avLst/>
        </a:prstGeom>
      </xdr:spPr>
    </xdr:pic>
    <xdr:clientData/>
  </xdr:twoCellAnchor>
  <xdr:twoCellAnchor>
    <xdr:from>
      <xdr:col>1</xdr:col>
      <xdr:colOff>309848</xdr:colOff>
      <xdr:row>19</xdr:row>
      <xdr:rowOff>8314</xdr:rowOff>
    </xdr:from>
    <xdr:to>
      <xdr:col>5</xdr:col>
      <xdr:colOff>317499</xdr:colOff>
      <xdr:row>20</xdr:row>
      <xdr:rowOff>75476</xdr:rowOff>
    </xdr:to>
    <xdr:sp macro="" textlink="">
      <xdr:nvSpPr>
        <xdr:cNvPr id="4" name="Rektangel 3">
          <a:extLst>
            <a:ext uri="{FF2B5EF4-FFF2-40B4-BE49-F238E27FC236}">
              <a16:creationId xmlns:a16="http://schemas.microsoft.com/office/drawing/2014/main" id="{C53BD1E7-491B-4337-A0E8-700E74215F2B}"/>
            </a:ext>
          </a:extLst>
        </xdr:cNvPr>
        <xdr:cNvSpPr/>
      </xdr:nvSpPr>
      <xdr:spPr bwMode="auto">
        <a:xfrm>
          <a:off x="1072996" y="3502727"/>
          <a:ext cx="3060241" cy="227824"/>
        </a:xfrm>
        <a:prstGeom prst="rect">
          <a:avLst/>
        </a:prstGeom>
        <a:noFill/>
        <a:ln w="1905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6</xdr:col>
      <xdr:colOff>223780</xdr:colOff>
      <xdr:row>9</xdr:row>
      <xdr:rowOff>143448</xdr:rowOff>
    </xdr:from>
    <xdr:to>
      <xdr:col>6</xdr:col>
      <xdr:colOff>223780</xdr:colOff>
      <xdr:row>13</xdr:row>
      <xdr:rowOff>160662</xdr:rowOff>
    </xdr:to>
    <xdr:cxnSp macro="">
      <xdr:nvCxnSpPr>
        <xdr:cNvPr id="6" name="Rett pilkobling 5">
          <a:extLst>
            <a:ext uri="{FF2B5EF4-FFF2-40B4-BE49-F238E27FC236}">
              <a16:creationId xmlns:a16="http://schemas.microsoft.com/office/drawing/2014/main" id="{3A324D41-C553-42D6-BE55-BCDD8AD5E46E}"/>
            </a:ext>
          </a:extLst>
        </xdr:cNvPr>
        <xdr:cNvCxnSpPr/>
      </xdr:nvCxnSpPr>
      <xdr:spPr bwMode="auto">
        <a:xfrm>
          <a:off x="4802666" y="2088614"/>
          <a:ext cx="0" cy="602485"/>
        </a:xfrm>
        <a:prstGeom prst="straightConnector1">
          <a:avLst/>
        </a:prstGeom>
        <a:solidFill>
          <a:srgbClr val="FFFFFF"/>
        </a:solidFill>
        <a:ln w="12700" cap="flat" cmpd="sng" algn="ctr">
          <a:solidFill>
            <a:srgbClr val="FF0000"/>
          </a:solidFill>
          <a:prstDash val="solid"/>
          <a:round/>
          <a:headEnd type="none" w="med" len="med"/>
          <a:tailEnd type="triangle"/>
        </a:ln>
        <a:effectLst/>
      </xdr:spPr>
    </xdr:cxnSp>
    <xdr:clientData/>
  </xdr:twoCellAnchor>
  <xdr:twoCellAnchor>
    <xdr:from>
      <xdr:col>6</xdr:col>
      <xdr:colOff>459036</xdr:colOff>
      <xdr:row>23</xdr:row>
      <xdr:rowOff>5738</xdr:rowOff>
    </xdr:from>
    <xdr:to>
      <xdr:col>7</xdr:col>
      <xdr:colOff>418871</xdr:colOff>
      <xdr:row>23</xdr:row>
      <xdr:rowOff>137710</xdr:rowOff>
    </xdr:to>
    <xdr:cxnSp macro="">
      <xdr:nvCxnSpPr>
        <xdr:cNvPr id="10" name="Rett pilkobling 9">
          <a:extLst>
            <a:ext uri="{FF2B5EF4-FFF2-40B4-BE49-F238E27FC236}">
              <a16:creationId xmlns:a16="http://schemas.microsoft.com/office/drawing/2014/main" id="{925CD149-C94D-49AD-B1DE-137969D1B64F}"/>
            </a:ext>
          </a:extLst>
        </xdr:cNvPr>
        <xdr:cNvCxnSpPr/>
      </xdr:nvCxnSpPr>
      <xdr:spPr bwMode="auto">
        <a:xfrm>
          <a:off x="5037922" y="3861642"/>
          <a:ext cx="722982" cy="131972"/>
        </a:xfrm>
        <a:prstGeom prst="straightConnector1">
          <a:avLst/>
        </a:prstGeom>
        <a:ln w="9525" cap="flat" cmpd="sng" algn="ctr">
          <a:solidFill>
            <a:srgbClr val="FF0000"/>
          </a:solidFill>
          <a:prstDash val="solid"/>
          <a:round/>
          <a:headEnd type="arrow"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7</xdr:col>
      <xdr:colOff>408417</xdr:colOff>
      <xdr:row>23</xdr:row>
      <xdr:rowOff>121286</xdr:rowOff>
    </xdr:from>
    <xdr:to>
      <xdr:col>10</xdr:col>
      <xdr:colOff>30162</xdr:colOff>
      <xdr:row>28</xdr:row>
      <xdr:rowOff>140193</xdr:rowOff>
    </xdr:to>
    <xdr:pic>
      <xdr:nvPicPr>
        <xdr:cNvPr id="11" name="Bilde 10">
          <a:extLst>
            <a:ext uri="{FF2B5EF4-FFF2-40B4-BE49-F238E27FC236}">
              <a16:creationId xmlns:a16="http://schemas.microsoft.com/office/drawing/2014/main" id="{B3232581-A0A2-44EE-817C-E124BD3FB713}"/>
            </a:ext>
          </a:extLst>
        </xdr:cNvPr>
        <xdr:cNvPicPr>
          <a:picLocks noChangeAspect="1"/>
        </xdr:cNvPicPr>
      </xdr:nvPicPr>
      <xdr:blipFill>
        <a:blip xmlns:r="http://schemas.openxmlformats.org/officeDocument/2006/relationships" r:embed="rId7"/>
        <a:stretch>
          <a:fillRect/>
        </a:stretch>
      </xdr:blipFill>
      <xdr:spPr>
        <a:xfrm>
          <a:off x="5750450" y="3977190"/>
          <a:ext cx="993116" cy="822220"/>
        </a:xfrm>
        <a:prstGeom prst="rect">
          <a:avLst/>
        </a:prstGeom>
      </xdr:spPr>
    </xdr:pic>
    <xdr:clientData/>
  </xdr:twoCellAnchor>
  <xdr:twoCellAnchor>
    <xdr:from>
      <xdr:col>3</xdr:col>
      <xdr:colOff>250704</xdr:colOff>
      <xdr:row>8</xdr:row>
      <xdr:rowOff>20156</xdr:rowOff>
    </xdr:from>
    <xdr:to>
      <xdr:col>3</xdr:col>
      <xdr:colOff>313674</xdr:colOff>
      <xdr:row>19</xdr:row>
      <xdr:rowOff>8314</xdr:rowOff>
    </xdr:to>
    <xdr:cxnSp macro="">
      <xdr:nvCxnSpPr>
        <xdr:cNvPr id="14" name="Rett pilkobling 13">
          <a:extLst>
            <a:ext uri="{FF2B5EF4-FFF2-40B4-BE49-F238E27FC236}">
              <a16:creationId xmlns:a16="http://schemas.microsoft.com/office/drawing/2014/main" id="{035A1AB1-6CAE-4EFB-9152-AE190BA5F3DC}"/>
            </a:ext>
          </a:extLst>
        </xdr:cNvPr>
        <xdr:cNvCxnSpPr>
          <a:endCxn id="4" idx="0"/>
        </xdr:cNvCxnSpPr>
      </xdr:nvCxnSpPr>
      <xdr:spPr bwMode="auto">
        <a:xfrm>
          <a:off x="2540147" y="1483334"/>
          <a:ext cx="62970" cy="1738233"/>
        </a:xfrm>
        <a:prstGeom prst="straightConnector1">
          <a:avLst/>
        </a:prstGeom>
        <a:solidFill>
          <a:srgbClr val="FFFFFF"/>
        </a:solidFill>
        <a:ln w="9525" cap="flat" cmpd="sng" algn="ctr">
          <a:solidFill>
            <a:srgbClr val="FF0000"/>
          </a:solidFill>
          <a:prstDash val="solid"/>
          <a:round/>
          <a:headEnd type="none" w="med" len="med"/>
          <a:tailEnd type="arrow" w="med" len="med"/>
        </a:ln>
        <a:effectLst/>
      </xdr:spPr>
    </xdr:cxnSp>
    <xdr:clientData/>
  </xdr:twoCellAnchor>
  <xdr:twoCellAnchor>
    <xdr:from>
      <xdr:col>5</xdr:col>
      <xdr:colOff>499203</xdr:colOff>
      <xdr:row>18</xdr:row>
      <xdr:rowOff>143449</xdr:rowOff>
    </xdr:from>
    <xdr:to>
      <xdr:col>6</xdr:col>
      <xdr:colOff>510677</xdr:colOff>
      <xdr:row>20</xdr:row>
      <xdr:rowOff>21996</xdr:rowOff>
    </xdr:to>
    <xdr:sp macro="" textlink="">
      <xdr:nvSpPr>
        <xdr:cNvPr id="21" name="Ellipse 20">
          <a:extLst>
            <a:ext uri="{FF2B5EF4-FFF2-40B4-BE49-F238E27FC236}">
              <a16:creationId xmlns:a16="http://schemas.microsoft.com/office/drawing/2014/main" id="{5EAC27D4-F615-497B-8D33-797E671EA1EF}"/>
            </a:ext>
          </a:extLst>
        </xdr:cNvPr>
        <xdr:cNvSpPr/>
      </xdr:nvSpPr>
      <xdr:spPr bwMode="auto">
        <a:xfrm>
          <a:off x="4314941" y="3196039"/>
          <a:ext cx="774622" cy="199873"/>
        </a:xfrm>
        <a:prstGeom prst="ellipse">
          <a:avLst/>
        </a:prstGeom>
        <a:noFill/>
        <a:ln w="1905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5</xdr:col>
      <xdr:colOff>689171</xdr:colOff>
      <xdr:row>7</xdr:row>
      <xdr:rowOff>122734</xdr:rowOff>
    </xdr:from>
    <xdr:to>
      <xdr:col>6</xdr:col>
      <xdr:colOff>123366</xdr:colOff>
      <xdr:row>18</xdr:row>
      <xdr:rowOff>143449</xdr:rowOff>
    </xdr:to>
    <xdr:cxnSp macro="">
      <xdr:nvCxnSpPr>
        <xdr:cNvPr id="22" name="Rett pilkobling 21">
          <a:extLst>
            <a:ext uri="{FF2B5EF4-FFF2-40B4-BE49-F238E27FC236}">
              <a16:creationId xmlns:a16="http://schemas.microsoft.com/office/drawing/2014/main" id="{066E59C0-3503-4CA8-80A5-C570B5A9226E}"/>
            </a:ext>
          </a:extLst>
        </xdr:cNvPr>
        <xdr:cNvCxnSpPr>
          <a:stCxn id="21" idx="0"/>
          <a:endCxn id="36" idx="2"/>
        </xdr:cNvCxnSpPr>
      </xdr:nvCxnSpPr>
      <xdr:spPr bwMode="auto">
        <a:xfrm flipH="1" flipV="1">
          <a:off x="4504909" y="1425249"/>
          <a:ext cx="197343" cy="1770790"/>
        </a:xfrm>
        <a:prstGeom prst="straightConnector1">
          <a:avLst/>
        </a:prstGeom>
        <a:ln w="12700" cap="flat" cmpd="sng" algn="ctr">
          <a:solidFill>
            <a:srgbClr val="FF0000"/>
          </a:solidFill>
          <a:prstDash val="solid"/>
          <a:round/>
          <a:headEnd type="arrow"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740195</xdr:colOff>
      <xdr:row>31</xdr:row>
      <xdr:rowOff>5738</xdr:rowOff>
    </xdr:from>
    <xdr:to>
      <xdr:col>6</xdr:col>
      <xdr:colOff>744904</xdr:colOff>
      <xdr:row>32</xdr:row>
      <xdr:rowOff>91586</xdr:rowOff>
    </xdr:to>
    <xdr:cxnSp macro="">
      <xdr:nvCxnSpPr>
        <xdr:cNvPr id="24" name="Rett pilkobling 23">
          <a:extLst>
            <a:ext uri="{FF2B5EF4-FFF2-40B4-BE49-F238E27FC236}">
              <a16:creationId xmlns:a16="http://schemas.microsoft.com/office/drawing/2014/main" id="{356EB72A-9513-453E-AD5A-021EEEC80FD9}"/>
            </a:ext>
          </a:extLst>
        </xdr:cNvPr>
        <xdr:cNvCxnSpPr/>
      </xdr:nvCxnSpPr>
      <xdr:spPr bwMode="auto">
        <a:xfrm flipH="1" flipV="1">
          <a:off x="5319081" y="5146943"/>
          <a:ext cx="4709" cy="246510"/>
        </a:xfrm>
        <a:prstGeom prst="straightConnector1">
          <a:avLst/>
        </a:prstGeom>
        <a:solidFill>
          <a:srgbClr val="FFFFFF"/>
        </a:solidFill>
        <a:ln w="12700" cap="flat" cmpd="sng" algn="ctr">
          <a:solidFill>
            <a:srgbClr val="FF0000"/>
          </a:solidFill>
          <a:prstDash val="solid"/>
          <a:round/>
          <a:headEnd type="none" w="med" len="med"/>
          <a:tailEnd type="triangle"/>
        </a:ln>
        <a:effectLst/>
      </xdr:spPr>
    </xdr:cxnSp>
    <xdr:clientData/>
  </xdr:twoCellAnchor>
  <xdr:twoCellAnchor>
    <xdr:from>
      <xdr:col>1</xdr:col>
      <xdr:colOff>689125</xdr:colOff>
      <xdr:row>7</xdr:row>
      <xdr:rowOff>117298</xdr:rowOff>
    </xdr:from>
    <xdr:to>
      <xdr:col>4</xdr:col>
      <xdr:colOff>311483</xdr:colOff>
      <xdr:row>8</xdr:row>
      <xdr:rowOff>111963</xdr:rowOff>
    </xdr:to>
    <xdr:sp macro="" textlink="">
      <xdr:nvSpPr>
        <xdr:cNvPr id="34" name="TekstSylinder 33">
          <a:extLst>
            <a:ext uri="{FF2B5EF4-FFF2-40B4-BE49-F238E27FC236}">
              <a16:creationId xmlns:a16="http://schemas.microsoft.com/office/drawing/2014/main" id="{AF9CBE81-222B-4671-8379-F8DD10F26C8E}"/>
            </a:ext>
          </a:extLst>
        </xdr:cNvPr>
        <xdr:cNvSpPr txBox="1"/>
      </xdr:nvSpPr>
      <xdr:spPr>
        <a:xfrm>
          <a:off x="1452273" y="1419813"/>
          <a:ext cx="1911800" cy="1553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r>
            <a:rPr lang="nb-NO" sz="700"/>
            <a:t>Classification and ratings of the input parameter DJ</a:t>
          </a:r>
        </a:p>
      </xdr:txBody>
    </xdr:sp>
    <xdr:clientData/>
  </xdr:twoCellAnchor>
  <xdr:twoCellAnchor>
    <xdr:from>
      <xdr:col>4</xdr:col>
      <xdr:colOff>533897</xdr:colOff>
      <xdr:row>6</xdr:row>
      <xdr:rowOff>131972</xdr:rowOff>
    </xdr:from>
    <xdr:to>
      <xdr:col>7</xdr:col>
      <xdr:colOff>81297</xdr:colOff>
      <xdr:row>7</xdr:row>
      <xdr:rowOff>122734</xdr:rowOff>
    </xdr:to>
    <xdr:sp macro="" textlink="">
      <xdr:nvSpPr>
        <xdr:cNvPr id="36" name="TekstSylinder 35">
          <a:extLst>
            <a:ext uri="{FF2B5EF4-FFF2-40B4-BE49-F238E27FC236}">
              <a16:creationId xmlns:a16="http://schemas.microsoft.com/office/drawing/2014/main" id="{EFA4A410-A27B-4784-AD9F-83985E113AC7}"/>
            </a:ext>
          </a:extLst>
        </xdr:cNvPr>
        <xdr:cNvSpPr txBox="1"/>
      </xdr:nvSpPr>
      <xdr:spPr>
        <a:xfrm>
          <a:off x="3586487" y="1595150"/>
          <a:ext cx="1836843" cy="1514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r>
            <a:rPr lang="nb-NO" sz="800" b="1">
              <a:solidFill>
                <a:srgbClr val="FF0000"/>
              </a:solidFill>
              <a:latin typeface="Arial" panose="020B0604020202020204" pitchFamily="34" charset="0"/>
              <a:cs typeface="Arial" panose="020B0604020202020204" pitchFamily="34" charset="0"/>
            </a:rPr>
            <a:t>Input of the rating for  DJ is required </a:t>
          </a:r>
        </a:p>
      </xdr:txBody>
    </xdr:sp>
    <xdr:clientData/>
  </xdr:twoCellAnchor>
  <xdr:twoCellAnchor>
    <xdr:from>
      <xdr:col>4</xdr:col>
      <xdr:colOff>138383</xdr:colOff>
      <xdr:row>31</xdr:row>
      <xdr:rowOff>142727</xdr:rowOff>
    </xdr:from>
    <xdr:to>
      <xdr:col>6</xdr:col>
      <xdr:colOff>226766</xdr:colOff>
      <xdr:row>33</xdr:row>
      <xdr:rowOff>47647</xdr:rowOff>
    </xdr:to>
    <xdr:sp macro="" textlink="">
      <xdr:nvSpPr>
        <xdr:cNvPr id="37" name="TekstSylinder 36">
          <a:extLst>
            <a:ext uri="{FF2B5EF4-FFF2-40B4-BE49-F238E27FC236}">
              <a16:creationId xmlns:a16="http://schemas.microsoft.com/office/drawing/2014/main" id="{F3B98F37-4395-477B-B151-FBC2EF336DA2}"/>
            </a:ext>
          </a:extLst>
        </xdr:cNvPr>
        <xdr:cNvSpPr txBox="1"/>
      </xdr:nvSpPr>
      <xdr:spPr>
        <a:xfrm>
          <a:off x="3191268" y="5033448"/>
          <a:ext cx="1614825" cy="2346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700"/>
            <a:t>The spreadsheet applies assumed, common conditions where no input has been given</a:t>
          </a:r>
        </a:p>
      </xdr:txBody>
    </xdr:sp>
    <xdr:clientData/>
  </xdr:twoCellAnchor>
  <xdr:twoCellAnchor>
    <xdr:from>
      <xdr:col>6</xdr:col>
      <xdr:colOff>13778</xdr:colOff>
      <xdr:row>8</xdr:row>
      <xdr:rowOff>28690</xdr:rowOff>
    </xdr:from>
    <xdr:to>
      <xdr:col>7</xdr:col>
      <xdr:colOff>344277</xdr:colOff>
      <xdr:row>10</xdr:row>
      <xdr:rowOff>5739</xdr:rowOff>
    </xdr:to>
    <xdr:sp macro="" textlink="">
      <xdr:nvSpPr>
        <xdr:cNvPr id="38" name="TekstSylinder 37">
          <a:extLst>
            <a:ext uri="{FF2B5EF4-FFF2-40B4-BE49-F238E27FC236}">
              <a16:creationId xmlns:a16="http://schemas.microsoft.com/office/drawing/2014/main" id="{3902FF3A-01A4-4DFC-988B-15AB7725D708}"/>
            </a:ext>
          </a:extLst>
        </xdr:cNvPr>
        <xdr:cNvSpPr txBox="1"/>
      </xdr:nvSpPr>
      <xdr:spPr>
        <a:xfrm>
          <a:off x="4592664" y="1813193"/>
          <a:ext cx="1093646" cy="29837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900">
              <a:solidFill>
                <a:srgbClr val="FF0000"/>
              </a:solidFill>
            </a:rPr>
            <a:t>Input of parameter ratings</a:t>
          </a:r>
        </a:p>
      </xdr:txBody>
    </xdr:sp>
    <xdr:clientData/>
  </xdr:twoCellAnchor>
  <xdr:twoCellAnchor>
    <xdr:from>
      <xdr:col>7</xdr:col>
      <xdr:colOff>415440</xdr:colOff>
      <xdr:row>23</xdr:row>
      <xdr:rowOff>139806</xdr:rowOff>
    </xdr:from>
    <xdr:to>
      <xdr:col>10</xdr:col>
      <xdr:colOff>42004</xdr:colOff>
      <xdr:row>28</xdr:row>
      <xdr:rowOff>134269</xdr:rowOff>
    </xdr:to>
    <xdr:sp macro="" textlink="">
      <xdr:nvSpPr>
        <xdr:cNvPr id="40" name="Rektangel 39">
          <a:extLst>
            <a:ext uri="{FF2B5EF4-FFF2-40B4-BE49-F238E27FC236}">
              <a16:creationId xmlns:a16="http://schemas.microsoft.com/office/drawing/2014/main" id="{86A682A1-FCDD-4C2D-8DB4-398439BB5075}"/>
            </a:ext>
          </a:extLst>
        </xdr:cNvPr>
        <xdr:cNvSpPr/>
      </xdr:nvSpPr>
      <xdr:spPr bwMode="auto">
        <a:xfrm>
          <a:off x="5757473" y="3995710"/>
          <a:ext cx="997935" cy="797776"/>
        </a:xfrm>
        <a:prstGeom prst="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0</xdr:col>
      <xdr:colOff>481457</xdr:colOff>
      <xdr:row>9</xdr:row>
      <xdr:rowOff>11622</xdr:rowOff>
    </xdr:from>
    <xdr:to>
      <xdr:col>2</xdr:col>
      <xdr:colOff>403568</xdr:colOff>
      <xdr:row>10</xdr:row>
      <xdr:rowOff>17729</xdr:rowOff>
    </xdr:to>
    <xdr:sp macro="" textlink="">
      <xdr:nvSpPr>
        <xdr:cNvPr id="41" name="TekstSylinder 40">
          <a:extLst>
            <a:ext uri="{FF2B5EF4-FFF2-40B4-BE49-F238E27FC236}">
              <a16:creationId xmlns:a16="http://schemas.microsoft.com/office/drawing/2014/main" id="{7F6AF11C-7CB4-4DC9-BD25-6B8D755879CB}"/>
            </a:ext>
          </a:extLst>
        </xdr:cNvPr>
        <xdr:cNvSpPr txBox="1"/>
      </xdr:nvSpPr>
      <xdr:spPr>
        <a:xfrm>
          <a:off x="481457" y="1635462"/>
          <a:ext cx="1448406" cy="1667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r>
            <a:rPr lang="nb-NO" sz="700"/>
            <a:t>Text can be given in the light blue cells</a:t>
          </a:r>
        </a:p>
      </xdr:txBody>
    </xdr:sp>
    <xdr:clientData/>
  </xdr:twoCellAnchor>
  <xdr:twoCellAnchor>
    <xdr:from>
      <xdr:col>1</xdr:col>
      <xdr:colOff>442512</xdr:colOff>
      <xdr:row>10</xdr:row>
      <xdr:rowOff>17729</xdr:rowOff>
    </xdr:from>
    <xdr:to>
      <xdr:col>2</xdr:col>
      <xdr:colOff>189353</xdr:colOff>
      <xdr:row>16</xdr:row>
      <xdr:rowOff>40165</xdr:rowOff>
    </xdr:to>
    <xdr:cxnSp macro="">
      <xdr:nvCxnSpPr>
        <xdr:cNvPr id="42" name="Rett pilkobling 41">
          <a:extLst>
            <a:ext uri="{FF2B5EF4-FFF2-40B4-BE49-F238E27FC236}">
              <a16:creationId xmlns:a16="http://schemas.microsoft.com/office/drawing/2014/main" id="{A938ADB4-3857-4B4A-AF09-20ADB4042EBF}"/>
            </a:ext>
          </a:extLst>
        </xdr:cNvPr>
        <xdr:cNvCxnSpPr>
          <a:stCxn id="41" idx="2"/>
        </xdr:cNvCxnSpPr>
      </xdr:nvCxnSpPr>
      <xdr:spPr bwMode="auto">
        <a:xfrm>
          <a:off x="1205660" y="1802232"/>
          <a:ext cx="509988" cy="969198"/>
        </a:xfrm>
        <a:prstGeom prst="straightConnector1">
          <a:avLst/>
        </a:prstGeom>
        <a:solidFill>
          <a:srgbClr val="FFFFFF"/>
        </a:solidFill>
        <a:ln w="12700" cap="flat" cmpd="sng" algn="ctr">
          <a:solidFill>
            <a:srgbClr val="FF0000"/>
          </a:solidFill>
          <a:prstDash val="solid"/>
          <a:round/>
          <a:headEnd type="none" w="med" len="med"/>
          <a:tailEnd type="oval"/>
        </a:ln>
        <a:effectLst/>
      </xdr:spPr>
    </xdr:cxnSp>
    <xdr:clientData/>
  </xdr:twoCellAnchor>
  <xdr:twoCellAnchor>
    <xdr:from>
      <xdr:col>7</xdr:col>
      <xdr:colOff>480291</xdr:colOff>
      <xdr:row>12</xdr:row>
      <xdr:rowOff>8092</xdr:rowOff>
    </xdr:from>
    <xdr:to>
      <xdr:col>8</xdr:col>
      <xdr:colOff>273621</xdr:colOff>
      <xdr:row>17</xdr:row>
      <xdr:rowOff>105037</xdr:rowOff>
    </xdr:to>
    <xdr:sp macro="" textlink="">
      <xdr:nvSpPr>
        <xdr:cNvPr id="45" name="TekstSylinder 44">
          <a:extLst>
            <a:ext uri="{FF2B5EF4-FFF2-40B4-BE49-F238E27FC236}">
              <a16:creationId xmlns:a16="http://schemas.microsoft.com/office/drawing/2014/main" id="{91AAA937-A159-4B57-98CA-215811C91944}"/>
            </a:ext>
          </a:extLst>
        </xdr:cNvPr>
        <xdr:cNvSpPr txBox="1"/>
      </xdr:nvSpPr>
      <xdr:spPr>
        <a:xfrm>
          <a:off x="5822324" y="2096706"/>
          <a:ext cx="527788" cy="9002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lang="nb-NO" sz="700"/>
            <a:t>Classification and </a:t>
          </a:r>
          <a:r>
            <a:rPr lang="nb-NO" sz="700" b="1" i="0"/>
            <a:t>ratings</a:t>
          </a:r>
          <a:r>
            <a:rPr lang="nb-NO" sz="700"/>
            <a:t> of input parameter is shown in cells</a:t>
          </a:r>
          <a:r>
            <a:rPr lang="nb-NO" sz="700" baseline="0"/>
            <a:t> marked with a small, red triangle</a:t>
          </a:r>
          <a:endParaRPr lang="nb-NO" sz="700"/>
        </a:p>
      </xdr:txBody>
    </xdr:sp>
    <xdr:clientData/>
  </xdr:twoCellAnchor>
  <xdr:twoCellAnchor>
    <xdr:from>
      <xdr:col>8</xdr:col>
      <xdr:colOff>17214</xdr:colOff>
      <xdr:row>17</xdr:row>
      <xdr:rowOff>108705</xdr:rowOff>
    </xdr:from>
    <xdr:to>
      <xdr:col>8</xdr:col>
      <xdr:colOff>23097</xdr:colOff>
      <xdr:row>23</xdr:row>
      <xdr:rowOff>131973</xdr:rowOff>
    </xdr:to>
    <xdr:cxnSp macro="">
      <xdr:nvCxnSpPr>
        <xdr:cNvPr id="46" name="Rett pilkobling 45">
          <a:extLst>
            <a:ext uri="{FF2B5EF4-FFF2-40B4-BE49-F238E27FC236}">
              <a16:creationId xmlns:a16="http://schemas.microsoft.com/office/drawing/2014/main" id="{60534416-118D-4669-9155-C6DDCE6AD71B}"/>
            </a:ext>
          </a:extLst>
        </xdr:cNvPr>
        <xdr:cNvCxnSpPr/>
      </xdr:nvCxnSpPr>
      <xdr:spPr bwMode="auto">
        <a:xfrm flipH="1">
          <a:off x="6093705" y="3000633"/>
          <a:ext cx="5883" cy="987244"/>
        </a:xfrm>
        <a:prstGeom prst="straightConnector1">
          <a:avLst/>
        </a:prstGeom>
        <a:solidFill>
          <a:srgbClr val="FFFFFF"/>
        </a:solidFill>
        <a:ln w="12700" cap="flat" cmpd="sng" algn="ctr">
          <a:solidFill>
            <a:srgbClr val="FF0000"/>
          </a:solidFill>
          <a:prstDash val="solid"/>
          <a:round/>
          <a:headEnd type="none" w="med" len="med"/>
          <a:tailEnd type="triangle"/>
        </a:ln>
        <a:effectLst/>
      </xdr:spPr>
    </xdr:cxnSp>
    <xdr:clientData/>
  </xdr:twoCellAnchor>
  <xdr:twoCellAnchor>
    <xdr:from>
      <xdr:col>7</xdr:col>
      <xdr:colOff>433738</xdr:colOff>
      <xdr:row>6</xdr:row>
      <xdr:rowOff>98277</xdr:rowOff>
    </xdr:from>
    <xdr:to>
      <xdr:col>8</xdr:col>
      <xdr:colOff>376471</xdr:colOff>
      <xdr:row>11</xdr:row>
      <xdr:rowOff>109021</xdr:rowOff>
    </xdr:to>
    <xdr:sp macro="" textlink="">
      <xdr:nvSpPr>
        <xdr:cNvPr id="55" name="TekstSylinder 54">
          <a:extLst>
            <a:ext uri="{FF2B5EF4-FFF2-40B4-BE49-F238E27FC236}">
              <a16:creationId xmlns:a16="http://schemas.microsoft.com/office/drawing/2014/main" id="{A2C3BB7E-6A1A-4CE8-8E62-2969B0F6B32A}"/>
            </a:ext>
          </a:extLst>
        </xdr:cNvPr>
        <xdr:cNvSpPr txBox="1"/>
      </xdr:nvSpPr>
      <xdr:spPr>
        <a:xfrm>
          <a:off x="5775771" y="1240129"/>
          <a:ext cx="677191" cy="7968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lang="nb-NO" sz="700"/>
            <a:t>Input of one or more of these 3 parameters give more accurate value for the </a:t>
          </a:r>
          <a:r>
            <a:rPr lang="nb-NO" sz="700" i="1"/>
            <a:t>Degree of jointing </a:t>
          </a:r>
          <a:r>
            <a:rPr lang="nb-NO" sz="700"/>
            <a:t>(DJ) </a:t>
          </a:r>
        </a:p>
      </xdr:txBody>
    </xdr:sp>
    <xdr:clientData/>
  </xdr:twoCellAnchor>
  <xdr:twoCellAnchor>
    <xdr:from>
      <xdr:col>6</xdr:col>
      <xdr:colOff>510677</xdr:colOff>
      <xdr:row>11</xdr:row>
      <xdr:rowOff>109021</xdr:rowOff>
    </xdr:from>
    <xdr:to>
      <xdr:col>7</xdr:col>
      <xdr:colOff>436084</xdr:colOff>
      <xdr:row>20</xdr:row>
      <xdr:rowOff>137711</xdr:rowOff>
    </xdr:to>
    <xdr:cxnSp macro="">
      <xdr:nvCxnSpPr>
        <xdr:cNvPr id="57" name="Rett pilkobling 56">
          <a:extLst>
            <a:ext uri="{FF2B5EF4-FFF2-40B4-BE49-F238E27FC236}">
              <a16:creationId xmlns:a16="http://schemas.microsoft.com/office/drawing/2014/main" id="{D58992E4-D4B4-4BF9-BA63-1336C7DADA09}"/>
            </a:ext>
          </a:extLst>
        </xdr:cNvPr>
        <xdr:cNvCxnSpPr/>
      </xdr:nvCxnSpPr>
      <xdr:spPr bwMode="auto">
        <a:xfrm flipH="1">
          <a:off x="5089563" y="2036973"/>
          <a:ext cx="688554" cy="1474654"/>
        </a:xfrm>
        <a:prstGeom prst="straightConnector1">
          <a:avLst/>
        </a:prstGeom>
        <a:solidFill>
          <a:srgbClr val="FFFFFF"/>
        </a:solidFill>
        <a:ln w="12700" cap="flat" cmpd="sng" algn="ctr">
          <a:solidFill>
            <a:srgbClr val="FF0000"/>
          </a:solidFill>
          <a:prstDash val="solid"/>
          <a:round/>
          <a:headEnd type="none" w="med" len="med"/>
          <a:tailEnd type="arrow" w="med" len="med"/>
        </a:ln>
        <a:effectLst/>
      </xdr:spPr>
    </xdr:cxnSp>
    <xdr:clientData/>
  </xdr:twoCellAnchor>
  <xdr:twoCellAnchor>
    <xdr:from>
      <xdr:col>6</xdr:col>
      <xdr:colOff>226766</xdr:colOff>
      <xdr:row>32</xdr:row>
      <xdr:rowOff>94525</xdr:rowOff>
    </xdr:from>
    <xdr:to>
      <xdr:col>6</xdr:col>
      <xdr:colOff>741158</xdr:colOff>
      <xdr:row>32</xdr:row>
      <xdr:rowOff>95800</xdr:rowOff>
    </xdr:to>
    <xdr:cxnSp macro="">
      <xdr:nvCxnSpPr>
        <xdr:cNvPr id="65" name="Rett linje 64">
          <a:extLst>
            <a:ext uri="{FF2B5EF4-FFF2-40B4-BE49-F238E27FC236}">
              <a16:creationId xmlns:a16="http://schemas.microsoft.com/office/drawing/2014/main" id="{1018FE03-68DB-46B9-9A05-4365C1AD0B78}"/>
            </a:ext>
          </a:extLst>
        </xdr:cNvPr>
        <xdr:cNvCxnSpPr>
          <a:stCxn id="37" idx="3"/>
        </xdr:cNvCxnSpPr>
      </xdr:nvCxnSpPr>
      <xdr:spPr bwMode="auto">
        <a:xfrm flipV="1">
          <a:off x="4806093" y="5150102"/>
          <a:ext cx="514392" cy="1275"/>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twoCellAnchor>
    <xdr:from>
      <xdr:col>6</xdr:col>
      <xdr:colOff>482356</xdr:colOff>
      <xdr:row>37</xdr:row>
      <xdr:rowOff>30529</xdr:rowOff>
    </xdr:from>
    <xdr:to>
      <xdr:col>7</xdr:col>
      <xdr:colOff>464039</xdr:colOff>
      <xdr:row>40</xdr:row>
      <xdr:rowOff>0</xdr:rowOff>
    </xdr:to>
    <xdr:cxnSp macro="">
      <xdr:nvCxnSpPr>
        <xdr:cNvPr id="70" name="Rett pilkobling 69">
          <a:extLst>
            <a:ext uri="{FF2B5EF4-FFF2-40B4-BE49-F238E27FC236}">
              <a16:creationId xmlns:a16="http://schemas.microsoft.com/office/drawing/2014/main" id="{2F7BA995-85BD-4486-8726-35D2905184F0}"/>
            </a:ext>
          </a:extLst>
        </xdr:cNvPr>
        <xdr:cNvCxnSpPr/>
      </xdr:nvCxnSpPr>
      <xdr:spPr bwMode="auto">
        <a:xfrm flipV="1">
          <a:off x="5061683" y="5910385"/>
          <a:ext cx="744904" cy="464038"/>
        </a:xfrm>
        <a:prstGeom prst="straightConnector1">
          <a:avLst/>
        </a:prstGeom>
        <a:ln w="12700" cap="flat" cmpd="sng" algn="ctr">
          <a:solidFill>
            <a:srgbClr val="FF0000"/>
          </a:solidFill>
          <a:prstDash val="solid"/>
          <a:round/>
          <a:headEnd type="arrow"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457933</xdr:colOff>
      <xdr:row>37</xdr:row>
      <xdr:rowOff>25562</xdr:rowOff>
    </xdr:from>
    <xdr:to>
      <xdr:col>10</xdr:col>
      <xdr:colOff>232019</xdr:colOff>
      <xdr:row>41</xdr:row>
      <xdr:rowOff>152645</xdr:rowOff>
    </xdr:to>
    <xdr:sp macro="" textlink="">
      <xdr:nvSpPr>
        <xdr:cNvPr id="75" name="Rektangel 74">
          <a:extLst>
            <a:ext uri="{FF2B5EF4-FFF2-40B4-BE49-F238E27FC236}">
              <a16:creationId xmlns:a16="http://schemas.microsoft.com/office/drawing/2014/main" id="{A682D412-3E19-40C7-9424-B45C442B194A}"/>
            </a:ext>
          </a:extLst>
        </xdr:cNvPr>
        <xdr:cNvSpPr/>
      </xdr:nvSpPr>
      <xdr:spPr bwMode="auto">
        <a:xfrm>
          <a:off x="5800481" y="6235129"/>
          <a:ext cx="1141778" cy="786506"/>
        </a:xfrm>
        <a:prstGeom prst="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0</xdr:col>
      <xdr:colOff>287614</xdr:colOff>
      <xdr:row>18</xdr:row>
      <xdr:rowOff>137622</xdr:rowOff>
    </xdr:from>
    <xdr:to>
      <xdr:col>0</xdr:col>
      <xdr:colOff>495013</xdr:colOff>
      <xdr:row>25</xdr:row>
      <xdr:rowOff>145304</xdr:rowOff>
    </xdr:to>
    <xdr:sp macro="" textlink="">
      <xdr:nvSpPr>
        <xdr:cNvPr id="39" name="Ellipse 38">
          <a:extLst>
            <a:ext uri="{FF2B5EF4-FFF2-40B4-BE49-F238E27FC236}">
              <a16:creationId xmlns:a16="http://schemas.microsoft.com/office/drawing/2014/main" id="{3387FB69-A08C-461B-BCD0-863C4CA8C8F3}"/>
            </a:ext>
          </a:extLst>
        </xdr:cNvPr>
        <xdr:cNvSpPr/>
      </xdr:nvSpPr>
      <xdr:spPr bwMode="auto">
        <a:xfrm>
          <a:off x="287614" y="3190212"/>
          <a:ext cx="207399" cy="1132321"/>
        </a:xfrm>
        <a:prstGeom prst="ellipse">
          <a:avLst/>
        </a:prstGeom>
        <a:noFill/>
        <a:ln w="1905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3</xdr:col>
      <xdr:colOff>646844</xdr:colOff>
      <xdr:row>8</xdr:row>
      <xdr:rowOff>149537</xdr:rowOff>
    </xdr:from>
    <xdr:to>
      <xdr:col>5</xdr:col>
      <xdr:colOff>298814</xdr:colOff>
      <xdr:row>10</xdr:row>
      <xdr:rowOff>51738</xdr:rowOff>
    </xdr:to>
    <xdr:sp macro="" textlink="">
      <xdr:nvSpPr>
        <xdr:cNvPr id="43" name="TekstSylinder 42">
          <a:extLst>
            <a:ext uri="{FF2B5EF4-FFF2-40B4-BE49-F238E27FC236}">
              <a16:creationId xmlns:a16="http://schemas.microsoft.com/office/drawing/2014/main" id="{39114A4F-5CAE-4CC2-B66F-B743C7EE4DE8}"/>
            </a:ext>
          </a:extLst>
        </xdr:cNvPr>
        <xdr:cNvSpPr txBox="1"/>
      </xdr:nvSpPr>
      <xdr:spPr>
        <a:xfrm>
          <a:off x="2936287" y="1612715"/>
          <a:ext cx="1178265" cy="2235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algn="ctr"/>
          <a:r>
            <a:rPr lang="nb-NO" sz="700"/>
            <a:t>Mark (with grey colour) where observations are made</a:t>
          </a:r>
        </a:p>
      </xdr:txBody>
    </xdr:sp>
    <xdr:clientData/>
  </xdr:twoCellAnchor>
  <xdr:twoCellAnchor>
    <xdr:from>
      <xdr:col>4</xdr:col>
      <xdr:colOff>470512</xdr:colOff>
      <xdr:row>10</xdr:row>
      <xdr:rowOff>51738</xdr:rowOff>
    </xdr:from>
    <xdr:to>
      <xdr:col>4</xdr:col>
      <xdr:colOff>472830</xdr:colOff>
      <xdr:row>14</xdr:row>
      <xdr:rowOff>11476</xdr:rowOff>
    </xdr:to>
    <xdr:cxnSp macro="">
      <xdr:nvCxnSpPr>
        <xdr:cNvPr id="44" name="Rett pilkobling 43">
          <a:extLst>
            <a:ext uri="{FF2B5EF4-FFF2-40B4-BE49-F238E27FC236}">
              <a16:creationId xmlns:a16="http://schemas.microsoft.com/office/drawing/2014/main" id="{79289DAB-CDAC-4CE0-B89C-71D38DCAF5A1}"/>
            </a:ext>
          </a:extLst>
        </xdr:cNvPr>
        <xdr:cNvCxnSpPr>
          <a:stCxn id="43" idx="2"/>
        </xdr:cNvCxnSpPr>
      </xdr:nvCxnSpPr>
      <xdr:spPr bwMode="auto">
        <a:xfrm flipH="1">
          <a:off x="3523102" y="1836241"/>
          <a:ext cx="2318" cy="585175"/>
        </a:xfrm>
        <a:prstGeom prst="straightConnector1">
          <a:avLst/>
        </a:prstGeom>
        <a:solidFill>
          <a:srgbClr val="FFFFFF"/>
        </a:solidFill>
        <a:ln w="9525" cap="flat" cmpd="sng" algn="ctr">
          <a:solidFill>
            <a:srgbClr val="FF0000"/>
          </a:solidFill>
          <a:prstDash val="solid"/>
          <a:round/>
          <a:headEnd type="none" w="med" len="med"/>
          <a:tailEnd type="arrow" w="med" len="med"/>
        </a:ln>
        <a:effectLst/>
      </xdr:spPr>
    </xdr:cxnSp>
    <xdr:clientData/>
  </xdr:twoCellAnchor>
  <xdr:twoCellAnchor>
    <xdr:from>
      <xdr:col>6</xdr:col>
      <xdr:colOff>11659</xdr:colOff>
      <xdr:row>4</xdr:row>
      <xdr:rowOff>229518</xdr:rowOff>
    </xdr:from>
    <xdr:to>
      <xdr:col>7</xdr:col>
      <xdr:colOff>550843</xdr:colOff>
      <xdr:row>6</xdr:row>
      <xdr:rowOff>0</xdr:rowOff>
    </xdr:to>
    <xdr:sp macro="" textlink="">
      <xdr:nvSpPr>
        <xdr:cNvPr id="3" name="Rektangel 2">
          <a:extLst>
            <a:ext uri="{FF2B5EF4-FFF2-40B4-BE49-F238E27FC236}">
              <a16:creationId xmlns:a16="http://schemas.microsoft.com/office/drawing/2014/main" id="{93E3D90F-71FA-6769-9661-14A9ED642FFD}"/>
            </a:ext>
          </a:extLst>
        </xdr:cNvPr>
        <xdr:cNvSpPr/>
      </xdr:nvSpPr>
      <xdr:spPr bwMode="auto">
        <a:xfrm>
          <a:off x="4590545" y="1130376"/>
          <a:ext cx="1302331" cy="190088"/>
        </a:xfrm>
        <a:prstGeom prst="rect">
          <a:avLst/>
        </a:prstGeom>
        <a:noFill/>
        <a:ln w="12700" cap="flat" cmpd="sng" algn="ctr">
          <a:solidFill>
            <a:srgbClr val="0000CC"/>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0</xdr:col>
      <xdr:colOff>1</xdr:colOff>
      <xdr:row>1</xdr:row>
      <xdr:rowOff>98273</xdr:rowOff>
    </xdr:from>
    <xdr:to>
      <xdr:col>8</xdr:col>
      <xdr:colOff>63117</xdr:colOff>
      <xdr:row>3</xdr:row>
      <xdr:rowOff>22678</xdr:rowOff>
    </xdr:to>
    <xdr:sp macro="" textlink="">
      <xdr:nvSpPr>
        <xdr:cNvPr id="27" name="TekstSylinder 26">
          <a:extLst>
            <a:ext uri="{FF2B5EF4-FFF2-40B4-BE49-F238E27FC236}">
              <a16:creationId xmlns:a16="http://schemas.microsoft.com/office/drawing/2014/main" id="{5E4C52F5-A6CB-BCE6-853F-31D7DB311A7C}"/>
            </a:ext>
          </a:extLst>
        </xdr:cNvPr>
        <xdr:cNvSpPr txBox="1"/>
      </xdr:nvSpPr>
      <xdr:spPr>
        <a:xfrm>
          <a:off x="1" y="356481"/>
          <a:ext cx="6139607" cy="2457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Start to insert the ratings of the parameter you have observed. You may not give input for all parameters</a:t>
          </a:r>
          <a:endParaRPr lang="nb-NO" sz="1100">
            <a:solidFill>
              <a:srgbClr val="FF0000"/>
            </a:solidFill>
          </a:endParaRPr>
        </a:p>
      </xdr:txBody>
    </xdr:sp>
    <xdr:clientData/>
  </xdr:twoCellAnchor>
  <xdr:twoCellAnchor editAs="oneCell">
    <xdr:from>
      <xdr:col>0</xdr:col>
      <xdr:colOff>67164</xdr:colOff>
      <xdr:row>45</xdr:row>
      <xdr:rowOff>38908</xdr:rowOff>
    </xdr:from>
    <xdr:to>
      <xdr:col>8</xdr:col>
      <xdr:colOff>18317</xdr:colOff>
      <xdr:row>67</xdr:row>
      <xdr:rowOff>116030</xdr:rowOff>
    </xdr:to>
    <xdr:pic>
      <xdr:nvPicPr>
        <xdr:cNvPr id="8" name="Bilde 7">
          <a:extLst>
            <a:ext uri="{FF2B5EF4-FFF2-40B4-BE49-F238E27FC236}">
              <a16:creationId xmlns:a16="http://schemas.microsoft.com/office/drawing/2014/main" id="{B8AF90AC-97EE-9270-92F3-4DE895EBD383}"/>
            </a:ext>
          </a:extLst>
        </xdr:cNvPr>
        <xdr:cNvPicPr>
          <a:picLocks noChangeAspect="1"/>
        </xdr:cNvPicPr>
      </xdr:nvPicPr>
      <xdr:blipFill>
        <a:blip xmlns:r="http://schemas.openxmlformats.org/officeDocument/2006/relationships" r:embed="rId8"/>
        <a:stretch>
          <a:fillRect/>
        </a:stretch>
      </xdr:blipFill>
      <xdr:spPr>
        <a:xfrm>
          <a:off x="67164" y="7237610"/>
          <a:ext cx="6026393" cy="3703947"/>
        </a:xfrm>
        <a:prstGeom prst="rect">
          <a:avLst/>
        </a:prstGeom>
      </xdr:spPr>
    </xdr:pic>
    <xdr:clientData/>
  </xdr:twoCellAnchor>
  <xdr:twoCellAnchor>
    <xdr:from>
      <xdr:col>7</xdr:col>
      <xdr:colOff>616683</xdr:colOff>
      <xdr:row>52</xdr:row>
      <xdr:rowOff>79375</xdr:rowOff>
    </xdr:from>
    <xdr:to>
      <xdr:col>8</xdr:col>
      <xdr:colOff>40967</xdr:colOff>
      <xdr:row>66</xdr:row>
      <xdr:rowOff>103798</xdr:rowOff>
    </xdr:to>
    <xdr:sp macro="" textlink="">
      <xdr:nvSpPr>
        <xdr:cNvPr id="9" name="Rektangel 8">
          <a:extLst>
            <a:ext uri="{FF2B5EF4-FFF2-40B4-BE49-F238E27FC236}">
              <a16:creationId xmlns:a16="http://schemas.microsoft.com/office/drawing/2014/main" id="{2BAD6D5F-7EDD-C909-8344-E2FF4A219EA9}"/>
            </a:ext>
          </a:extLst>
        </xdr:cNvPr>
        <xdr:cNvSpPr/>
      </xdr:nvSpPr>
      <xdr:spPr bwMode="auto">
        <a:xfrm>
          <a:off x="5957852" y="8411190"/>
          <a:ext cx="156583" cy="23186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editAs="oneCell">
    <xdr:from>
      <xdr:col>11</xdr:col>
      <xdr:colOff>699281</xdr:colOff>
      <xdr:row>45</xdr:row>
      <xdr:rowOff>49660</xdr:rowOff>
    </xdr:from>
    <xdr:to>
      <xdr:col>19</xdr:col>
      <xdr:colOff>586153</xdr:colOff>
      <xdr:row>67</xdr:row>
      <xdr:rowOff>103283</xdr:rowOff>
    </xdr:to>
    <xdr:pic>
      <xdr:nvPicPr>
        <xdr:cNvPr id="13" name="Bilde 12">
          <a:extLst>
            <a:ext uri="{FF2B5EF4-FFF2-40B4-BE49-F238E27FC236}">
              <a16:creationId xmlns:a16="http://schemas.microsoft.com/office/drawing/2014/main" id="{E14CFA68-0051-0B74-12B8-E43622E14871}"/>
            </a:ext>
          </a:extLst>
        </xdr:cNvPr>
        <xdr:cNvPicPr>
          <a:picLocks noChangeAspect="1"/>
        </xdr:cNvPicPr>
      </xdr:nvPicPr>
      <xdr:blipFill>
        <a:blip xmlns:r="http://schemas.openxmlformats.org/officeDocument/2006/relationships" r:embed="rId9"/>
        <a:stretch>
          <a:fillRect/>
        </a:stretch>
      </xdr:blipFill>
      <xdr:spPr>
        <a:xfrm>
          <a:off x="8175832" y="7486046"/>
          <a:ext cx="5992053" cy="3588201"/>
        </a:xfrm>
        <a:prstGeom prst="rect">
          <a:avLst/>
        </a:prstGeom>
      </xdr:spPr>
    </xdr:pic>
    <xdr:clientData/>
  </xdr:twoCellAnchor>
  <xdr:twoCellAnchor>
    <xdr:from>
      <xdr:col>19</xdr:col>
      <xdr:colOff>500673</xdr:colOff>
      <xdr:row>52</xdr:row>
      <xdr:rowOff>6106</xdr:rowOff>
    </xdr:from>
    <xdr:to>
      <xdr:col>19</xdr:col>
      <xdr:colOff>660605</xdr:colOff>
      <xdr:row>66</xdr:row>
      <xdr:rowOff>30529</xdr:rowOff>
    </xdr:to>
    <xdr:sp macro="" textlink="">
      <xdr:nvSpPr>
        <xdr:cNvPr id="16" name="Rektangel 15">
          <a:extLst>
            <a:ext uri="{FF2B5EF4-FFF2-40B4-BE49-F238E27FC236}">
              <a16:creationId xmlns:a16="http://schemas.microsoft.com/office/drawing/2014/main" id="{FB769EC7-ACEE-4350-B08C-005118B806E9}"/>
            </a:ext>
          </a:extLst>
        </xdr:cNvPr>
        <xdr:cNvSpPr/>
      </xdr:nvSpPr>
      <xdr:spPr bwMode="auto">
        <a:xfrm>
          <a:off x="14076358" y="8337921"/>
          <a:ext cx="159932" cy="23186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4</xdr:col>
      <xdr:colOff>390769</xdr:colOff>
      <xdr:row>52</xdr:row>
      <xdr:rowOff>73271</xdr:rowOff>
    </xdr:from>
    <xdr:to>
      <xdr:col>5</xdr:col>
      <xdr:colOff>714375</xdr:colOff>
      <xdr:row>53</xdr:row>
      <xdr:rowOff>85481</xdr:rowOff>
    </xdr:to>
    <xdr:sp macro="" textlink="">
      <xdr:nvSpPr>
        <xdr:cNvPr id="18" name="Ellipse 17">
          <a:extLst>
            <a:ext uri="{FF2B5EF4-FFF2-40B4-BE49-F238E27FC236}">
              <a16:creationId xmlns:a16="http://schemas.microsoft.com/office/drawing/2014/main" id="{F7587888-1587-115A-F3B5-03DF8DFFAA7E}"/>
            </a:ext>
          </a:extLst>
        </xdr:cNvPr>
        <xdr:cNvSpPr/>
      </xdr:nvSpPr>
      <xdr:spPr bwMode="auto">
        <a:xfrm>
          <a:off x="3443654" y="8425963"/>
          <a:ext cx="1086827" cy="1770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14</xdr:col>
      <xdr:colOff>550307</xdr:colOff>
      <xdr:row>52</xdr:row>
      <xdr:rowOff>72533</xdr:rowOff>
    </xdr:from>
    <xdr:to>
      <xdr:col>16</xdr:col>
      <xdr:colOff>110889</xdr:colOff>
      <xdr:row>53</xdr:row>
      <xdr:rowOff>84743</xdr:rowOff>
    </xdr:to>
    <xdr:sp macro="" textlink="">
      <xdr:nvSpPr>
        <xdr:cNvPr id="19" name="Ellipse 18">
          <a:extLst>
            <a:ext uri="{FF2B5EF4-FFF2-40B4-BE49-F238E27FC236}">
              <a16:creationId xmlns:a16="http://schemas.microsoft.com/office/drawing/2014/main" id="{B07F69AF-5746-4FAD-A497-D05463A7029A}"/>
            </a:ext>
          </a:extLst>
        </xdr:cNvPr>
        <xdr:cNvSpPr/>
      </xdr:nvSpPr>
      <xdr:spPr bwMode="auto">
        <a:xfrm>
          <a:off x="10316301" y="8633557"/>
          <a:ext cx="1086877" cy="172873"/>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12</xdr:col>
      <xdr:colOff>143448</xdr:colOff>
      <xdr:row>47</xdr:row>
      <xdr:rowOff>143448</xdr:rowOff>
    </xdr:from>
    <xdr:to>
      <xdr:col>13</xdr:col>
      <xdr:colOff>200829</xdr:colOff>
      <xdr:row>48</xdr:row>
      <xdr:rowOff>126235</xdr:rowOff>
    </xdr:to>
    <xdr:sp macro="" textlink="">
      <xdr:nvSpPr>
        <xdr:cNvPr id="20" name="Ellipse 19">
          <a:extLst>
            <a:ext uri="{FF2B5EF4-FFF2-40B4-BE49-F238E27FC236}">
              <a16:creationId xmlns:a16="http://schemas.microsoft.com/office/drawing/2014/main" id="{D7CA597F-2B33-4B18-9EE0-49DF255E65A0}"/>
            </a:ext>
          </a:extLst>
        </xdr:cNvPr>
        <xdr:cNvSpPr/>
      </xdr:nvSpPr>
      <xdr:spPr bwMode="auto">
        <a:xfrm>
          <a:off x="8383147" y="7901159"/>
          <a:ext cx="820528" cy="143449"/>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19</xdr:col>
      <xdr:colOff>218042</xdr:colOff>
      <xdr:row>46</xdr:row>
      <xdr:rowOff>114759</xdr:rowOff>
    </xdr:from>
    <xdr:to>
      <xdr:col>22</xdr:col>
      <xdr:colOff>327063</xdr:colOff>
      <xdr:row>48</xdr:row>
      <xdr:rowOff>51642</xdr:rowOff>
    </xdr:to>
    <xdr:sp macro="" textlink="">
      <xdr:nvSpPr>
        <xdr:cNvPr id="2" name="Ellipse 1">
          <a:extLst>
            <a:ext uri="{FF2B5EF4-FFF2-40B4-BE49-F238E27FC236}">
              <a16:creationId xmlns:a16="http://schemas.microsoft.com/office/drawing/2014/main" id="{E9E59B72-5C3B-3604-631A-0105501DD3B7}"/>
            </a:ext>
          </a:extLst>
        </xdr:cNvPr>
        <xdr:cNvSpPr/>
      </xdr:nvSpPr>
      <xdr:spPr bwMode="auto">
        <a:xfrm>
          <a:off x="13799774" y="7711807"/>
          <a:ext cx="2398464" cy="258208"/>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8</xdr:col>
      <xdr:colOff>28690</xdr:colOff>
      <xdr:row>44</xdr:row>
      <xdr:rowOff>109021</xdr:rowOff>
    </xdr:from>
    <xdr:to>
      <xdr:col>12</xdr:col>
      <xdr:colOff>120497</xdr:colOff>
      <xdr:row>44</xdr:row>
      <xdr:rowOff>114759</xdr:rowOff>
    </xdr:to>
    <xdr:cxnSp macro="">
      <xdr:nvCxnSpPr>
        <xdr:cNvPr id="23" name="Rett pilkobling 22">
          <a:extLst>
            <a:ext uri="{FF2B5EF4-FFF2-40B4-BE49-F238E27FC236}">
              <a16:creationId xmlns:a16="http://schemas.microsoft.com/office/drawing/2014/main" id="{0369D838-3EDA-5B70-DFC4-35810955281C}"/>
            </a:ext>
          </a:extLst>
        </xdr:cNvPr>
        <xdr:cNvCxnSpPr/>
      </xdr:nvCxnSpPr>
      <xdr:spPr bwMode="auto">
        <a:xfrm flipV="1">
          <a:off x="6105181" y="7361792"/>
          <a:ext cx="2255015" cy="5738"/>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2</xdr:col>
      <xdr:colOff>693695</xdr:colOff>
      <xdr:row>52</xdr:row>
      <xdr:rowOff>63422</xdr:rowOff>
    </xdr:from>
    <xdr:to>
      <xdr:col>4</xdr:col>
      <xdr:colOff>254276</xdr:colOff>
      <xdr:row>53</xdr:row>
      <xdr:rowOff>75632</xdr:rowOff>
    </xdr:to>
    <xdr:sp macro="" textlink="">
      <xdr:nvSpPr>
        <xdr:cNvPr id="25" name="Ellipse 24">
          <a:extLst>
            <a:ext uri="{FF2B5EF4-FFF2-40B4-BE49-F238E27FC236}">
              <a16:creationId xmlns:a16="http://schemas.microsoft.com/office/drawing/2014/main" id="{DEDF988E-731D-4D2F-AE6B-D677494923FD}"/>
            </a:ext>
          </a:extLst>
        </xdr:cNvPr>
        <xdr:cNvSpPr/>
      </xdr:nvSpPr>
      <xdr:spPr bwMode="auto">
        <a:xfrm>
          <a:off x="2219743" y="8395237"/>
          <a:ext cx="1086630" cy="17608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xdr:col>
      <xdr:colOff>308393</xdr:colOff>
      <xdr:row>52</xdr:row>
      <xdr:rowOff>62193</xdr:rowOff>
    </xdr:from>
    <xdr:to>
      <xdr:col>2</xdr:col>
      <xdr:colOff>631999</xdr:colOff>
      <xdr:row>53</xdr:row>
      <xdr:rowOff>74403</xdr:rowOff>
    </xdr:to>
    <xdr:sp macro="" textlink="">
      <xdr:nvSpPr>
        <xdr:cNvPr id="26" name="Ellipse 25">
          <a:extLst>
            <a:ext uri="{FF2B5EF4-FFF2-40B4-BE49-F238E27FC236}">
              <a16:creationId xmlns:a16="http://schemas.microsoft.com/office/drawing/2014/main" id="{77C0C3B7-7B2F-40B8-8921-138403B288D4}"/>
            </a:ext>
          </a:extLst>
        </xdr:cNvPr>
        <xdr:cNvSpPr/>
      </xdr:nvSpPr>
      <xdr:spPr bwMode="auto">
        <a:xfrm>
          <a:off x="1071417" y="8394008"/>
          <a:ext cx="1086630" cy="17608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16</xdr:col>
      <xdr:colOff>242919</xdr:colOff>
      <xdr:row>52</xdr:row>
      <xdr:rowOff>81935</xdr:rowOff>
    </xdr:from>
    <xdr:to>
      <xdr:col>17</xdr:col>
      <xdr:colOff>566525</xdr:colOff>
      <xdr:row>53</xdr:row>
      <xdr:rowOff>94145</xdr:rowOff>
    </xdr:to>
    <xdr:sp macro="" textlink="">
      <xdr:nvSpPr>
        <xdr:cNvPr id="28" name="Ellipse 27">
          <a:extLst>
            <a:ext uri="{FF2B5EF4-FFF2-40B4-BE49-F238E27FC236}">
              <a16:creationId xmlns:a16="http://schemas.microsoft.com/office/drawing/2014/main" id="{CC1DBA89-EBC0-404C-B143-BCF2FA668D78}"/>
            </a:ext>
          </a:extLst>
        </xdr:cNvPr>
        <xdr:cNvSpPr/>
      </xdr:nvSpPr>
      <xdr:spPr bwMode="auto">
        <a:xfrm>
          <a:off x="11535208" y="8642959"/>
          <a:ext cx="1086754" cy="172873"/>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13</xdr:col>
      <xdr:colOff>700031</xdr:colOff>
      <xdr:row>48</xdr:row>
      <xdr:rowOff>91808</xdr:rowOff>
    </xdr:from>
    <xdr:to>
      <xdr:col>13</xdr:col>
      <xdr:colOff>722395</xdr:colOff>
      <xdr:row>52</xdr:row>
      <xdr:rowOff>88290</xdr:rowOff>
    </xdr:to>
    <xdr:cxnSp macro="">
      <xdr:nvCxnSpPr>
        <xdr:cNvPr id="31" name="Rett pilkobling 30">
          <a:extLst>
            <a:ext uri="{FF2B5EF4-FFF2-40B4-BE49-F238E27FC236}">
              <a16:creationId xmlns:a16="http://schemas.microsoft.com/office/drawing/2014/main" id="{596314F8-074E-C6FA-1726-F06D216E4118}"/>
            </a:ext>
          </a:extLst>
        </xdr:cNvPr>
        <xdr:cNvCxnSpPr>
          <a:stCxn id="47" idx="0"/>
        </xdr:cNvCxnSpPr>
      </xdr:nvCxnSpPr>
      <xdr:spPr bwMode="auto">
        <a:xfrm flipH="1" flipV="1">
          <a:off x="9702877" y="8010181"/>
          <a:ext cx="22364" cy="639133"/>
        </a:xfrm>
        <a:prstGeom prst="straightConnector1">
          <a:avLst/>
        </a:prstGeom>
        <a:solidFill>
          <a:srgbClr val="FFFFFF"/>
        </a:solidFill>
        <a:ln w="6350" cap="flat" cmpd="sng" algn="ctr">
          <a:solidFill>
            <a:srgbClr val="FF0000"/>
          </a:solidFill>
          <a:prstDash val="solid"/>
          <a:round/>
          <a:headEnd type="none" w="med" len="med"/>
          <a:tailEnd type="triangle"/>
        </a:ln>
        <a:effectLst/>
      </xdr:spPr>
    </xdr:cxnSp>
    <xdr:clientData/>
  </xdr:twoCellAnchor>
  <xdr:twoCellAnchor>
    <xdr:from>
      <xdr:col>13</xdr:col>
      <xdr:colOff>499571</xdr:colOff>
      <xdr:row>52</xdr:row>
      <xdr:rowOff>88290</xdr:rowOff>
    </xdr:from>
    <xdr:to>
      <xdr:col>14</xdr:col>
      <xdr:colOff>182071</xdr:colOff>
      <xdr:row>53</xdr:row>
      <xdr:rowOff>68855</xdr:rowOff>
    </xdr:to>
    <xdr:sp macro="" textlink="">
      <xdr:nvSpPr>
        <xdr:cNvPr id="47" name="Ellipse 46">
          <a:extLst>
            <a:ext uri="{FF2B5EF4-FFF2-40B4-BE49-F238E27FC236}">
              <a16:creationId xmlns:a16="http://schemas.microsoft.com/office/drawing/2014/main" id="{D2A944D7-01DD-492F-B550-78487E09093D}"/>
            </a:ext>
          </a:extLst>
        </xdr:cNvPr>
        <xdr:cNvSpPr/>
      </xdr:nvSpPr>
      <xdr:spPr bwMode="auto">
        <a:xfrm>
          <a:off x="9502417" y="8649314"/>
          <a:ext cx="445648" cy="141228"/>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9</xdr:col>
      <xdr:colOff>28690</xdr:colOff>
      <xdr:row>43</xdr:row>
      <xdr:rowOff>150360</xdr:rowOff>
    </xdr:from>
    <xdr:to>
      <xdr:col>11</xdr:col>
      <xdr:colOff>395919</xdr:colOff>
      <xdr:row>45</xdr:row>
      <xdr:rowOff>78665</xdr:rowOff>
    </xdr:to>
    <xdr:sp macro="" textlink="">
      <xdr:nvSpPr>
        <xdr:cNvPr id="52" name="TekstSylinder 51">
          <a:extLst>
            <a:ext uri="{FF2B5EF4-FFF2-40B4-BE49-F238E27FC236}">
              <a16:creationId xmlns:a16="http://schemas.microsoft.com/office/drawing/2014/main" id="{B89CD19B-7B2F-E749-B286-5271D187148F}"/>
            </a:ext>
          </a:extLst>
        </xdr:cNvPr>
        <xdr:cNvSpPr txBox="1"/>
      </xdr:nvSpPr>
      <xdr:spPr>
        <a:xfrm>
          <a:off x="6552741" y="7242468"/>
          <a:ext cx="1319729" cy="2725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a:solidFill>
                <a:srgbClr val="FF0000"/>
              </a:solidFill>
            </a:rPr>
            <a:t>when also inputs for </a:t>
          </a:r>
          <a:r>
            <a:rPr lang="nb-NO" sz="800" u="sng">
              <a:solidFill>
                <a:srgbClr val="FF0000"/>
              </a:solidFill>
            </a:rPr>
            <a:t>weakness</a:t>
          </a:r>
          <a:r>
            <a:rPr lang="nb-NO" sz="800">
              <a:solidFill>
                <a:srgbClr val="FF0000"/>
              </a:solidFill>
            </a:rPr>
            <a:t> </a:t>
          </a:r>
          <a:r>
            <a:rPr lang="nb-NO" sz="800" u="sng">
              <a:solidFill>
                <a:srgbClr val="FF0000"/>
              </a:solidFill>
            </a:rPr>
            <a:t>zone</a:t>
          </a:r>
          <a:r>
            <a:rPr lang="nb-NO" sz="800">
              <a:solidFill>
                <a:srgbClr val="FF0000"/>
              </a:solidFill>
            </a:rPr>
            <a:t> have been</a:t>
          </a:r>
          <a:r>
            <a:rPr lang="nb-NO" sz="800" baseline="0">
              <a:solidFill>
                <a:srgbClr val="FF0000"/>
              </a:solidFill>
            </a:rPr>
            <a:t> given</a:t>
          </a:r>
          <a:endParaRPr lang="nb-NO" sz="800">
            <a:solidFill>
              <a:srgbClr val="FF0000"/>
            </a:solidFill>
          </a:endParaRPr>
        </a:p>
      </xdr:txBody>
    </xdr:sp>
    <xdr:clientData/>
  </xdr:twoCellAnchor>
  <xdr:twoCellAnchor>
    <xdr:from>
      <xdr:col>5</xdr:col>
      <xdr:colOff>665603</xdr:colOff>
      <xdr:row>20</xdr:row>
      <xdr:rowOff>40166</xdr:rowOff>
    </xdr:from>
    <xdr:to>
      <xdr:col>6</xdr:col>
      <xdr:colOff>545105</xdr:colOff>
      <xdr:row>22</xdr:row>
      <xdr:rowOff>36684</xdr:rowOff>
    </xdr:to>
    <xdr:sp macro="" textlink="">
      <xdr:nvSpPr>
        <xdr:cNvPr id="73" name="Ellipse 72">
          <a:extLst>
            <a:ext uri="{FF2B5EF4-FFF2-40B4-BE49-F238E27FC236}">
              <a16:creationId xmlns:a16="http://schemas.microsoft.com/office/drawing/2014/main" id="{F2A1381C-4AF3-48E5-B29F-C88FBDDAE925}"/>
            </a:ext>
          </a:extLst>
        </xdr:cNvPr>
        <xdr:cNvSpPr/>
      </xdr:nvSpPr>
      <xdr:spPr bwMode="auto">
        <a:xfrm>
          <a:off x="4481341" y="3414082"/>
          <a:ext cx="642650" cy="317843"/>
        </a:xfrm>
        <a:prstGeom prst="ellipse">
          <a:avLst/>
        </a:prstGeom>
        <a:noFill/>
        <a:ln w="1905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6</xdr:col>
      <xdr:colOff>522153</xdr:colOff>
      <xdr:row>17</xdr:row>
      <xdr:rowOff>109021</xdr:rowOff>
    </xdr:from>
    <xdr:to>
      <xdr:col>11</xdr:col>
      <xdr:colOff>5738</xdr:colOff>
      <xdr:row>21</xdr:row>
      <xdr:rowOff>11476</xdr:rowOff>
    </xdr:to>
    <xdr:cxnSp macro="">
      <xdr:nvCxnSpPr>
        <xdr:cNvPr id="106" name="Rett pilkobling 105">
          <a:extLst>
            <a:ext uri="{FF2B5EF4-FFF2-40B4-BE49-F238E27FC236}">
              <a16:creationId xmlns:a16="http://schemas.microsoft.com/office/drawing/2014/main" id="{955E0C76-3F20-4C2C-8D97-1EB8F282FFBD}"/>
            </a:ext>
          </a:extLst>
        </xdr:cNvPr>
        <xdr:cNvCxnSpPr/>
      </xdr:nvCxnSpPr>
      <xdr:spPr bwMode="auto">
        <a:xfrm flipH="1">
          <a:off x="5101039" y="3000949"/>
          <a:ext cx="2381250" cy="545105"/>
        </a:xfrm>
        <a:prstGeom prst="straightConnector1">
          <a:avLst/>
        </a:prstGeom>
        <a:ln w="9525" cap="flat" cmpd="sng" algn="ctr">
          <a:solidFill>
            <a:srgbClr val="FF0000"/>
          </a:solidFill>
          <a:prstDash val="solid"/>
          <a:round/>
          <a:headEnd type="arrow"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120497</xdr:colOff>
      <xdr:row>22</xdr:row>
      <xdr:rowOff>143449</xdr:rowOff>
    </xdr:from>
    <xdr:to>
      <xdr:col>11</xdr:col>
      <xdr:colOff>160663</xdr:colOff>
      <xdr:row>24</xdr:row>
      <xdr:rowOff>34428</xdr:rowOff>
    </xdr:to>
    <xdr:cxnSp macro="">
      <xdr:nvCxnSpPr>
        <xdr:cNvPr id="116" name="Rett pilkobling 115">
          <a:extLst>
            <a:ext uri="{FF2B5EF4-FFF2-40B4-BE49-F238E27FC236}">
              <a16:creationId xmlns:a16="http://schemas.microsoft.com/office/drawing/2014/main" id="{3D999843-6D77-48AB-BD4A-F219F538BE0A}"/>
            </a:ext>
          </a:extLst>
        </xdr:cNvPr>
        <xdr:cNvCxnSpPr/>
      </xdr:nvCxnSpPr>
      <xdr:spPr bwMode="auto">
        <a:xfrm flipH="1" flipV="1">
          <a:off x="6644548" y="3838690"/>
          <a:ext cx="992666" cy="212304"/>
        </a:xfrm>
        <a:prstGeom prst="straightConnector1">
          <a:avLst/>
        </a:prstGeom>
        <a:ln w="9525" cap="flat" cmpd="sng" algn="ctr">
          <a:solidFill>
            <a:srgbClr val="FF0000"/>
          </a:solidFill>
          <a:prstDash val="solid"/>
          <a:round/>
          <a:headEnd type="arrow"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10</xdr:col>
      <xdr:colOff>688555</xdr:colOff>
      <xdr:row>28</xdr:row>
      <xdr:rowOff>131889</xdr:rowOff>
    </xdr:from>
    <xdr:to>
      <xdr:col>14</xdr:col>
      <xdr:colOff>705769</xdr:colOff>
      <xdr:row>33</xdr:row>
      <xdr:rowOff>93420</xdr:rowOff>
    </xdr:to>
    <xdr:pic>
      <xdr:nvPicPr>
        <xdr:cNvPr id="121" name="Bilde 120">
          <a:extLst>
            <a:ext uri="{FF2B5EF4-FFF2-40B4-BE49-F238E27FC236}">
              <a16:creationId xmlns:a16="http://schemas.microsoft.com/office/drawing/2014/main" id="{83434B9D-B1A3-04C0-697D-3119D6C2DBE1}"/>
            </a:ext>
          </a:extLst>
        </xdr:cNvPr>
        <xdr:cNvPicPr>
          <a:picLocks noChangeAspect="1"/>
        </xdr:cNvPicPr>
      </xdr:nvPicPr>
      <xdr:blipFill>
        <a:blip xmlns:r="http://schemas.openxmlformats.org/officeDocument/2006/relationships" r:embed="rId10"/>
        <a:stretch>
          <a:fillRect/>
        </a:stretch>
      </xdr:blipFill>
      <xdr:spPr>
        <a:xfrm>
          <a:off x="7401959" y="4791106"/>
          <a:ext cx="3069804" cy="764844"/>
        </a:xfrm>
        <a:prstGeom prst="rect">
          <a:avLst/>
        </a:prstGeom>
      </xdr:spPr>
    </xdr:pic>
    <xdr:clientData/>
  </xdr:twoCellAnchor>
  <xdr:twoCellAnchor>
    <xdr:from>
      <xdr:col>7</xdr:col>
      <xdr:colOff>361491</xdr:colOff>
      <xdr:row>29</xdr:row>
      <xdr:rowOff>57379</xdr:rowOff>
    </xdr:from>
    <xdr:to>
      <xdr:col>11</xdr:col>
      <xdr:colOff>619699</xdr:colOff>
      <xdr:row>29</xdr:row>
      <xdr:rowOff>57379</xdr:rowOff>
    </xdr:to>
    <xdr:cxnSp macro="">
      <xdr:nvCxnSpPr>
        <xdr:cNvPr id="122" name="Rett pilkobling 121">
          <a:extLst>
            <a:ext uri="{FF2B5EF4-FFF2-40B4-BE49-F238E27FC236}">
              <a16:creationId xmlns:a16="http://schemas.microsoft.com/office/drawing/2014/main" id="{CCAD691F-AACB-4E81-955F-38665C64C513}"/>
            </a:ext>
          </a:extLst>
        </xdr:cNvPr>
        <xdr:cNvCxnSpPr/>
      </xdr:nvCxnSpPr>
      <xdr:spPr bwMode="auto">
        <a:xfrm>
          <a:off x="5703524" y="4877259"/>
          <a:ext cx="2392726" cy="0"/>
        </a:xfrm>
        <a:prstGeom prst="straightConnector1">
          <a:avLst/>
        </a:prstGeom>
        <a:solidFill>
          <a:srgbClr val="FFFFFF"/>
        </a:solidFill>
        <a:ln w="12700" cap="flat" cmpd="sng" algn="ctr">
          <a:solidFill>
            <a:srgbClr val="FF0000"/>
          </a:solidFill>
          <a:prstDash val="solid"/>
          <a:round/>
          <a:headEnd type="none" w="med" len="med"/>
          <a:tailEnd type="arrow" w="med" len="med"/>
        </a:ln>
        <a:effectLst/>
      </xdr:spPr>
    </xdr:cxnSp>
    <xdr:clientData/>
  </xdr:twoCellAnchor>
  <xdr:twoCellAnchor>
    <xdr:from>
      <xdr:col>6</xdr:col>
      <xdr:colOff>126234</xdr:colOff>
      <xdr:row>24</xdr:row>
      <xdr:rowOff>63119</xdr:rowOff>
    </xdr:from>
    <xdr:to>
      <xdr:col>7</xdr:col>
      <xdr:colOff>384443</xdr:colOff>
      <xdr:row>29</xdr:row>
      <xdr:rowOff>57379</xdr:rowOff>
    </xdr:to>
    <xdr:cxnSp macro="">
      <xdr:nvCxnSpPr>
        <xdr:cNvPr id="125" name="Rett linje 124">
          <a:extLst>
            <a:ext uri="{FF2B5EF4-FFF2-40B4-BE49-F238E27FC236}">
              <a16:creationId xmlns:a16="http://schemas.microsoft.com/office/drawing/2014/main" id="{D9D75364-145E-428F-A43C-276D056FC046}"/>
            </a:ext>
          </a:extLst>
        </xdr:cNvPr>
        <xdr:cNvCxnSpPr>
          <a:stCxn id="29" idx="6"/>
        </xdr:cNvCxnSpPr>
      </xdr:nvCxnSpPr>
      <xdr:spPr bwMode="auto">
        <a:xfrm>
          <a:off x="4705120" y="4079685"/>
          <a:ext cx="1021356" cy="797574"/>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twoCellAnchor>
    <xdr:from>
      <xdr:col>10</xdr:col>
      <xdr:colOff>525367</xdr:colOff>
      <xdr:row>11</xdr:row>
      <xdr:rowOff>31903</xdr:rowOff>
    </xdr:from>
    <xdr:to>
      <xdr:col>13</xdr:col>
      <xdr:colOff>367229</xdr:colOff>
      <xdr:row>12</xdr:row>
      <xdr:rowOff>71114</xdr:rowOff>
    </xdr:to>
    <xdr:sp macro="" textlink="">
      <xdr:nvSpPr>
        <xdr:cNvPr id="132" name="Ellipse 131">
          <a:extLst>
            <a:ext uri="{FF2B5EF4-FFF2-40B4-BE49-F238E27FC236}">
              <a16:creationId xmlns:a16="http://schemas.microsoft.com/office/drawing/2014/main" id="{34BE1219-B09A-4C5C-A2EB-2212991C3854}"/>
            </a:ext>
          </a:extLst>
        </xdr:cNvPr>
        <xdr:cNvSpPr/>
      </xdr:nvSpPr>
      <xdr:spPr bwMode="auto">
        <a:xfrm>
          <a:off x="7238771" y="1959855"/>
          <a:ext cx="2131304" cy="199873"/>
        </a:xfrm>
        <a:prstGeom prst="ellipse">
          <a:avLst/>
        </a:prstGeom>
        <a:noFill/>
        <a:ln w="1905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6</xdr:col>
      <xdr:colOff>48579</xdr:colOff>
      <xdr:row>49</xdr:row>
      <xdr:rowOff>41319</xdr:rowOff>
    </xdr:from>
    <xdr:to>
      <xdr:col>7</xdr:col>
      <xdr:colOff>372309</xdr:colOff>
      <xdr:row>50</xdr:row>
      <xdr:rowOff>53529</xdr:rowOff>
    </xdr:to>
    <xdr:sp macro="" textlink="">
      <xdr:nvSpPr>
        <xdr:cNvPr id="5" name="Ellipse 4">
          <a:extLst>
            <a:ext uri="{FF2B5EF4-FFF2-40B4-BE49-F238E27FC236}">
              <a16:creationId xmlns:a16="http://schemas.microsoft.com/office/drawing/2014/main" id="{2CD1618F-0BA7-4C27-A5A1-A2949815379F}"/>
            </a:ext>
          </a:extLst>
        </xdr:cNvPr>
        <xdr:cNvSpPr/>
      </xdr:nvSpPr>
      <xdr:spPr bwMode="auto">
        <a:xfrm>
          <a:off x="4627465" y="8120355"/>
          <a:ext cx="1086877" cy="172873"/>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8</xdr:col>
      <xdr:colOff>43379</xdr:colOff>
      <xdr:row>49</xdr:row>
      <xdr:rowOff>38815</xdr:rowOff>
    </xdr:from>
    <xdr:to>
      <xdr:col>11</xdr:col>
      <xdr:colOff>481988</xdr:colOff>
      <xdr:row>51</xdr:row>
      <xdr:rowOff>109022</xdr:rowOff>
    </xdr:to>
    <xdr:sp macro="" textlink="">
      <xdr:nvSpPr>
        <xdr:cNvPr id="12" name="TekstSylinder 11">
          <a:extLst>
            <a:ext uri="{FF2B5EF4-FFF2-40B4-BE49-F238E27FC236}">
              <a16:creationId xmlns:a16="http://schemas.microsoft.com/office/drawing/2014/main" id="{38BB873E-7B9C-423A-B45C-22C6E4781BBB}"/>
            </a:ext>
          </a:extLst>
        </xdr:cNvPr>
        <xdr:cNvSpPr txBox="1"/>
      </xdr:nvSpPr>
      <xdr:spPr>
        <a:xfrm>
          <a:off x="6119870" y="8117851"/>
          <a:ext cx="1838669" cy="3915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a:solidFill>
                <a:srgbClr val="FF0000"/>
              </a:solidFill>
            </a:rPr>
            <a:t>If you want to</a:t>
          </a:r>
          <a:r>
            <a:rPr lang="nb-NO" sz="800" baseline="0">
              <a:solidFill>
                <a:srgbClr val="FF0000"/>
              </a:solidFill>
            </a:rPr>
            <a:t> see the calculated result of </a:t>
          </a:r>
          <a:r>
            <a:rPr lang="nb-NO" sz="800" u="sng" baseline="0">
              <a:solidFill>
                <a:srgbClr val="FF0000"/>
              </a:solidFill>
            </a:rPr>
            <a:t>only</a:t>
          </a:r>
          <a:r>
            <a:rPr lang="nb-NO" sz="800" baseline="0">
              <a:solidFill>
                <a:srgbClr val="FF0000"/>
              </a:solidFill>
            </a:rPr>
            <a:t> the weakness zone, do not give input for the jointed rockmass (DJ)</a:t>
          </a:r>
          <a:endParaRPr lang="nb-NO" sz="800">
            <a:solidFill>
              <a:srgbClr val="FF0000"/>
            </a:solidFill>
          </a:endParaRPr>
        </a:p>
      </xdr:txBody>
    </xdr:sp>
    <xdr:clientData/>
  </xdr:twoCellAnchor>
  <xdr:twoCellAnchor>
    <xdr:from>
      <xdr:col>7</xdr:col>
      <xdr:colOff>366571</xdr:colOff>
      <xdr:row>49</xdr:row>
      <xdr:rowOff>127756</xdr:rowOff>
    </xdr:from>
    <xdr:to>
      <xdr:col>8</xdr:col>
      <xdr:colOff>49116</xdr:colOff>
      <xdr:row>50</xdr:row>
      <xdr:rowOff>49116</xdr:rowOff>
    </xdr:to>
    <xdr:cxnSp macro="">
      <xdr:nvCxnSpPr>
        <xdr:cNvPr id="15" name="Rett pilkobling 14">
          <a:extLst>
            <a:ext uri="{FF2B5EF4-FFF2-40B4-BE49-F238E27FC236}">
              <a16:creationId xmlns:a16="http://schemas.microsoft.com/office/drawing/2014/main" id="{B5102486-E34B-4514-A80C-1D35F0B9A495}"/>
            </a:ext>
          </a:extLst>
        </xdr:cNvPr>
        <xdr:cNvCxnSpPr/>
      </xdr:nvCxnSpPr>
      <xdr:spPr bwMode="auto">
        <a:xfrm>
          <a:off x="5708604" y="8206792"/>
          <a:ext cx="417003" cy="82023"/>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5</xdr:col>
      <xdr:colOff>313064</xdr:colOff>
      <xdr:row>23</xdr:row>
      <xdr:rowOff>91808</xdr:rowOff>
    </xdr:from>
    <xdr:to>
      <xdr:col>6</xdr:col>
      <xdr:colOff>126234</xdr:colOff>
      <xdr:row>25</xdr:row>
      <xdr:rowOff>34429</xdr:rowOff>
    </xdr:to>
    <xdr:sp macro="" textlink="">
      <xdr:nvSpPr>
        <xdr:cNvPr id="29" name="Ellipse 28">
          <a:extLst>
            <a:ext uri="{FF2B5EF4-FFF2-40B4-BE49-F238E27FC236}">
              <a16:creationId xmlns:a16="http://schemas.microsoft.com/office/drawing/2014/main" id="{8F4A2804-C987-426C-9523-0EC1A58C2398}"/>
            </a:ext>
          </a:extLst>
        </xdr:cNvPr>
        <xdr:cNvSpPr/>
      </xdr:nvSpPr>
      <xdr:spPr bwMode="auto">
        <a:xfrm>
          <a:off x="4128802" y="3947712"/>
          <a:ext cx="576318" cy="263946"/>
        </a:xfrm>
        <a:prstGeom prst="ellipse">
          <a:avLst/>
        </a:prstGeom>
        <a:noFill/>
        <a:ln w="1905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6</xdr:col>
      <xdr:colOff>37640</xdr:colOff>
      <xdr:row>22</xdr:row>
      <xdr:rowOff>95022</xdr:rowOff>
    </xdr:from>
    <xdr:to>
      <xdr:col>9</xdr:col>
      <xdr:colOff>143449</xdr:colOff>
      <xdr:row>22</xdr:row>
      <xdr:rowOff>143449</xdr:rowOff>
    </xdr:to>
    <xdr:cxnSp macro="">
      <xdr:nvCxnSpPr>
        <xdr:cNvPr id="33" name="Rett linje 32">
          <a:extLst>
            <a:ext uri="{FF2B5EF4-FFF2-40B4-BE49-F238E27FC236}">
              <a16:creationId xmlns:a16="http://schemas.microsoft.com/office/drawing/2014/main" id="{417D0F91-27E2-4A67-9FF7-5EF1FFB2E20C}"/>
            </a:ext>
          </a:extLst>
        </xdr:cNvPr>
        <xdr:cNvCxnSpPr/>
      </xdr:nvCxnSpPr>
      <xdr:spPr bwMode="auto">
        <a:xfrm>
          <a:off x="4616526" y="3790263"/>
          <a:ext cx="2050974" cy="48427"/>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twoCellAnchor>
    <xdr:from>
      <xdr:col>19</xdr:col>
      <xdr:colOff>292636</xdr:colOff>
      <xdr:row>48</xdr:row>
      <xdr:rowOff>86070</xdr:rowOff>
    </xdr:from>
    <xdr:to>
      <xdr:col>19</xdr:col>
      <xdr:colOff>550844</xdr:colOff>
      <xdr:row>50</xdr:row>
      <xdr:rowOff>11476</xdr:rowOff>
    </xdr:to>
    <xdr:sp macro="" textlink="">
      <xdr:nvSpPr>
        <xdr:cNvPr id="7" name="Ellipse 6">
          <a:extLst>
            <a:ext uri="{FF2B5EF4-FFF2-40B4-BE49-F238E27FC236}">
              <a16:creationId xmlns:a16="http://schemas.microsoft.com/office/drawing/2014/main" id="{EA3EF0CC-66B6-464D-B0B6-137546D458BC}"/>
            </a:ext>
          </a:extLst>
        </xdr:cNvPr>
        <xdr:cNvSpPr/>
      </xdr:nvSpPr>
      <xdr:spPr bwMode="auto">
        <a:xfrm>
          <a:off x="13874368" y="8004443"/>
          <a:ext cx="258208" cy="246732"/>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52193</xdr:colOff>
      <xdr:row>2</xdr:row>
      <xdr:rowOff>6524</xdr:rowOff>
    </xdr:from>
    <xdr:to>
      <xdr:col>3</xdr:col>
      <xdr:colOff>977</xdr:colOff>
      <xdr:row>26</xdr:row>
      <xdr:rowOff>110909</xdr:rowOff>
    </xdr:to>
    <xdr:pic>
      <xdr:nvPicPr>
        <xdr:cNvPr id="5" name="Bilde 4">
          <a:extLst>
            <a:ext uri="{FF2B5EF4-FFF2-40B4-BE49-F238E27FC236}">
              <a16:creationId xmlns:a16="http://schemas.microsoft.com/office/drawing/2014/main" id="{4C468C23-AF3B-26A4-36A3-DD907A561858}"/>
            </a:ext>
          </a:extLst>
        </xdr:cNvPr>
        <xdr:cNvPicPr>
          <a:picLocks noChangeAspect="1"/>
        </xdr:cNvPicPr>
      </xdr:nvPicPr>
      <xdr:blipFill>
        <a:blip xmlns:r="http://schemas.openxmlformats.org/officeDocument/2006/relationships" r:embed="rId1"/>
        <a:stretch>
          <a:fillRect/>
        </a:stretch>
      </xdr:blipFill>
      <xdr:spPr>
        <a:xfrm>
          <a:off x="202244" y="378390"/>
          <a:ext cx="688961" cy="3431610"/>
        </a:xfrm>
        <a:prstGeom prst="rect">
          <a:avLst/>
        </a:prstGeom>
      </xdr:spPr>
    </xdr:pic>
    <xdr:clientData/>
  </xdr:twoCellAnchor>
  <xdr:oneCellAnchor>
    <xdr:from>
      <xdr:col>8</xdr:col>
      <xdr:colOff>54172</xdr:colOff>
      <xdr:row>16</xdr:row>
      <xdr:rowOff>31489</xdr:rowOff>
    </xdr:from>
    <xdr:ext cx="1358129" cy="88422"/>
    <xdr:sp macro="" textlink="">
      <xdr:nvSpPr>
        <xdr:cNvPr id="8" name="TekstSylinder 7">
          <a:extLst>
            <a:ext uri="{FF2B5EF4-FFF2-40B4-BE49-F238E27FC236}">
              <a16:creationId xmlns:a16="http://schemas.microsoft.com/office/drawing/2014/main" id="{CD63D0B3-0D76-4200-A734-640A8E0DF815}"/>
            </a:ext>
          </a:extLst>
        </xdr:cNvPr>
        <xdr:cNvSpPr txBox="1"/>
      </xdr:nvSpPr>
      <xdr:spPr>
        <a:xfrm>
          <a:off x="3170504" y="2298853"/>
          <a:ext cx="1358129" cy="88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nb-NO" sz="600" b="0" i="1">
              <a:solidFill>
                <a:srgbClr val="0000CC"/>
              </a:solidFill>
              <a:latin typeface="Arial" panose="020B0604020202020204" pitchFamily="34" charset="0"/>
              <a:cs typeface="Arial" panose="020B0604020202020204" pitchFamily="34" charset="0"/>
            </a:rPr>
            <a:t>in an area of 25 - 50 m</a:t>
          </a:r>
          <a:r>
            <a:rPr lang="nb-NO" sz="600" b="0" i="1" baseline="30000">
              <a:solidFill>
                <a:srgbClr val="0000CC"/>
              </a:solidFill>
              <a:latin typeface="Arial" panose="020B0604020202020204" pitchFamily="34" charset="0"/>
              <a:cs typeface="Arial" panose="020B0604020202020204" pitchFamily="34" charset="0"/>
            </a:rPr>
            <a:t>2</a:t>
          </a:r>
          <a:r>
            <a:rPr lang="nb-NO" sz="600" b="0" i="1">
              <a:solidFill>
                <a:srgbClr val="0000CC"/>
              </a:solidFill>
              <a:latin typeface="Arial" panose="020B0604020202020204" pitchFamily="34" charset="0"/>
              <a:cs typeface="Arial" panose="020B0604020202020204" pitchFamily="34" charset="0"/>
            </a:rPr>
            <a:t> or</a:t>
          </a:r>
          <a:r>
            <a:rPr lang="nb-NO" sz="600" b="0" i="1" baseline="0">
              <a:solidFill>
                <a:srgbClr val="0000CC"/>
              </a:solidFill>
              <a:latin typeface="Arial" panose="020B0604020202020204" pitchFamily="34" charset="0"/>
              <a:cs typeface="Arial" panose="020B0604020202020204" pitchFamily="34" charset="0"/>
            </a:rPr>
            <a:t> 1 blast round</a:t>
          </a:r>
          <a:endParaRPr lang="nb-NO" sz="600" b="0" i="1">
            <a:solidFill>
              <a:srgbClr val="0000CC"/>
            </a:solidFill>
            <a:latin typeface="Arial" panose="020B0604020202020204" pitchFamily="34" charset="0"/>
            <a:cs typeface="Arial" panose="020B0604020202020204" pitchFamily="34" charset="0"/>
          </a:endParaRPr>
        </a:p>
      </xdr:txBody>
    </xdr:sp>
    <xdr:clientData/>
  </xdr:oneCellAnchor>
  <xdr:twoCellAnchor>
    <xdr:from>
      <xdr:col>11</xdr:col>
      <xdr:colOff>6707</xdr:colOff>
      <xdr:row>19</xdr:row>
      <xdr:rowOff>40490</xdr:rowOff>
    </xdr:from>
    <xdr:to>
      <xdr:col>11</xdr:col>
      <xdr:colOff>335585</xdr:colOff>
      <xdr:row>20</xdr:row>
      <xdr:rowOff>91977</xdr:rowOff>
    </xdr:to>
    <xdr:sp macro="" textlink="">
      <xdr:nvSpPr>
        <xdr:cNvPr id="23" name="TekstSylinder 22">
          <a:extLst>
            <a:ext uri="{FF2B5EF4-FFF2-40B4-BE49-F238E27FC236}">
              <a16:creationId xmlns:a16="http://schemas.microsoft.com/office/drawing/2014/main" id="{135A6ACD-669E-4FDB-945D-22A11D52AB50}"/>
            </a:ext>
          </a:extLst>
        </xdr:cNvPr>
        <xdr:cNvSpPr txBox="1"/>
      </xdr:nvSpPr>
      <xdr:spPr>
        <a:xfrm>
          <a:off x="4326496" y="2790666"/>
          <a:ext cx="328878" cy="20576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700">
              <a:latin typeface="Arial" panose="020B0604020202020204" pitchFamily="34" charset="0"/>
              <a:cs typeface="Arial" panose="020B0604020202020204" pitchFamily="34" charset="0"/>
            </a:rPr>
            <a:t>Jr </a:t>
          </a:r>
          <a:r>
            <a:rPr lang="nb-NO" sz="500">
              <a:latin typeface="Arial" panose="020B0604020202020204" pitchFamily="34" charset="0"/>
              <a:cs typeface="Arial" panose="020B0604020202020204" pitchFamily="34" charset="0"/>
            </a:rPr>
            <a:t>or</a:t>
          </a:r>
          <a:r>
            <a:rPr lang="nb-NO" sz="700">
              <a:latin typeface="Arial" panose="020B0604020202020204" pitchFamily="34" charset="0"/>
              <a:cs typeface="Arial" panose="020B0604020202020204" pitchFamily="34" charset="0"/>
            </a:rPr>
            <a:t> jR</a:t>
          </a:r>
        </a:p>
      </xdr:txBody>
    </xdr:sp>
    <xdr:clientData/>
  </xdr:twoCellAnchor>
  <xdr:twoCellAnchor>
    <xdr:from>
      <xdr:col>3</xdr:col>
      <xdr:colOff>9042</xdr:colOff>
      <xdr:row>12</xdr:row>
      <xdr:rowOff>4053</xdr:rowOff>
    </xdr:from>
    <xdr:to>
      <xdr:col>3</xdr:col>
      <xdr:colOff>113691</xdr:colOff>
      <xdr:row>14</xdr:row>
      <xdr:rowOff>113684</xdr:rowOff>
    </xdr:to>
    <xdr:sp macro="" textlink="">
      <xdr:nvSpPr>
        <xdr:cNvPr id="2" name="TekstSylinder 1">
          <a:extLst>
            <a:ext uri="{FF2B5EF4-FFF2-40B4-BE49-F238E27FC236}">
              <a16:creationId xmlns:a16="http://schemas.microsoft.com/office/drawing/2014/main" id="{BB65D907-A8CC-4206-9D7A-8048284A0276}"/>
            </a:ext>
          </a:extLst>
        </xdr:cNvPr>
        <xdr:cNvSpPr txBox="1"/>
      </xdr:nvSpPr>
      <xdr:spPr>
        <a:xfrm rot="16200000">
          <a:off x="654613" y="1908530"/>
          <a:ext cx="356799" cy="104649"/>
        </a:xfrm>
        <a:prstGeom prst="rect">
          <a:avLst/>
        </a:prstGeom>
        <a:solidFill>
          <a:srgbClr val="FFFFF3"/>
        </a:solidFill>
        <a:ln w="317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lang="nb-NO" sz="700" b="0">
              <a:latin typeface="Arial Narrow" panose="020B0606020202030204" pitchFamily="34" charset="0"/>
            </a:rPr>
            <a:t>Definition</a:t>
          </a:r>
        </a:p>
      </xdr:txBody>
    </xdr:sp>
    <xdr:clientData/>
  </xdr:twoCellAnchor>
  <xdr:oneCellAnchor>
    <xdr:from>
      <xdr:col>0</xdr:col>
      <xdr:colOff>0</xdr:colOff>
      <xdr:row>36</xdr:row>
      <xdr:rowOff>127759</xdr:rowOff>
    </xdr:from>
    <xdr:ext cx="437635" cy="268583"/>
    <xdr:pic>
      <xdr:nvPicPr>
        <xdr:cNvPr id="14" name="Picture 3">
          <a:extLst>
            <a:ext uri="{FF2B5EF4-FFF2-40B4-BE49-F238E27FC236}">
              <a16:creationId xmlns:a16="http://schemas.microsoft.com/office/drawing/2014/main" id="{1014C1AC-CF5E-441C-8697-9685CDF481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78873"/>
          <a:ext cx="437635" cy="268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8158</xdr:colOff>
      <xdr:row>38</xdr:row>
      <xdr:rowOff>87976</xdr:rowOff>
    </xdr:from>
    <xdr:to>
      <xdr:col>1</xdr:col>
      <xdr:colOff>335387</xdr:colOff>
      <xdr:row>39</xdr:row>
      <xdr:rowOff>0</xdr:rowOff>
    </xdr:to>
    <xdr:sp macro="" textlink="">
      <xdr:nvSpPr>
        <xdr:cNvPr id="9" name="TekstSylinder 8">
          <a:extLst>
            <a:ext uri="{FF2B5EF4-FFF2-40B4-BE49-F238E27FC236}">
              <a16:creationId xmlns:a16="http://schemas.microsoft.com/office/drawing/2014/main" id="{7BA09909-EEE1-4DC0-A8F7-67B4C8C70D45}"/>
            </a:ext>
          </a:extLst>
        </xdr:cNvPr>
        <xdr:cNvSpPr txBox="1"/>
      </xdr:nvSpPr>
      <xdr:spPr>
        <a:xfrm>
          <a:off x="8158" y="5514543"/>
          <a:ext cx="488215" cy="73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450"/>
            <a:t>A. Palmström, 2022</a:t>
          </a:r>
        </a:p>
      </xdr:txBody>
    </xdr:sp>
    <xdr:clientData/>
  </xdr:twoCellAnchor>
  <xdr:twoCellAnchor>
    <xdr:from>
      <xdr:col>12</xdr:col>
      <xdr:colOff>332026</xdr:colOff>
      <xdr:row>2</xdr:row>
      <xdr:rowOff>53328</xdr:rowOff>
    </xdr:from>
    <xdr:to>
      <xdr:col>12</xdr:col>
      <xdr:colOff>446056</xdr:colOff>
      <xdr:row>7</xdr:row>
      <xdr:rowOff>19790</xdr:rowOff>
    </xdr:to>
    <xdr:sp macro="" textlink="">
      <xdr:nvSpPr>
        <xdr:cNvPr id="4" name="TekstSylinder 3">
          <a:extLst>
            <a:ext uri="{FF2B5EF4-FFF2-40B4-BE49-F238E27FC236}">
              <a16:creationId xmlns:a16="http://schemas.microsoft.com/office/drawing/2014/main" id="{3662AD13-240D-4AF2-A7BF-04C94F7E7B8C}"/>
            </a:ext>
          </a:extLst>
        </xdr:cNvPr>
        <xdr:cNvSpPr txBox="1"/>
      </xdr:nvSpPr>
      <xdr:spPr>
        <a:xfrm rot="16200000">
          <a:off x="5110890" y="698986"/>
          <a:ext cx="662259" cy="11403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a:t>for calculations</a:t>
          </a:r>
        </a:p>
      </xdr:txBody>
    </xdr:sp>
    <xdr:clientData/>
  </xdr:twoCellAnchor>
  <xdr:twoCellAnchor editAs="oneCell">
    <xdr:from>
      <xdr:col>23</xdr:col>
      <xdr:colOff>88312</xdr:colOff>
      <xdr:row>64</xdr:row>
      <xdr:rowOff>109325</xdr:rowOff>
    </xdr:from>
    <xdr:to>
      <xdr:col>28</xdr:col>
      <xdr:colOff>208160</xdr:colOff>
      <xdr:row>71</xdr:row>
      <xdr:rowOff>90360</xdr:rowOff>
    </xdr:to>
    <xdr:pic>
      <xdr:nvPicPr>
        <xdr:cNvPr id="18" name="Bilde 17">
          <a:extLst>
            <a:ext uri="{FF2B5EF4-FFF2-40B4-BE49-F238E27FC236}">
              <a16:creationId xmlns:a16="http://schemas.microsoft.com/office/drawing/2014/main" id="{56416D88-2E4A-4CB4-8BEE-FC8285CAF67D}"/>
            </a:ext>
          </a:extLst>
        </xdr:cNvPr>
        <xdr:cNvPicPr>
          <a:picLocks noChangeAspect="1"/>
        </xdr:cNvPicPr>
      </xdr:nvPicPr>
      <xdr:blipFill>
        <a:blip xmlns:r="http://schemas.openxmlformats.org/officeDocument/2006/relationships" r:embed="rId3"/>
        <a:stretch>
          <a:fillRect/>
        </a:stretch>
      </xdr:blipFill>
      <xdr:spPr>
        <a:xfrm>
          <a:off x="9928709" y="8953067"/>
          <a:ext cx="2460099" cy="807378"/>
        </a:xfrm>
        <a:prstGeom prst="rect">
          <a:avLst/>
        </a:prstGeom>
      </xdr:spPr>
    </xdr:pic>
    <xdr:clientData/>
  </xdr:twoCellAnchor>
  <xdr:twoCellAnchor>
    <xdr:from>
      <xdr:col>4</xdr:col>
      <xdr:colOff>218284</xdr:colOff>
      <xdr:row>10</xdr:row>
      <xdr:rowOff>86231</xdr:rowOff>
    </xdr:from>
    <xdr:to>
      <xdr:col>4</xdr:col>
      <xdr:colOff>432933</xdr:colOff>
      <xdr:row>11</xdr:row>
      <xdr:rowOff>72815</xdr:rowOff>
    </xdr:to>
    <xdr:sp macro="" textlink="">
      <xdr:nvSpPr>
        <xdr:cNvPr id="3" name="TekstSylinder 2">
          <a:extLst>
            <a:ext uri="{FF2B5EF4-FFF2-40B4-BE49-F238E27FC236}">
              <a16:creationId xmlns:a16="http://schemas.microsoft.com/office/drawing/2014/main" id="{9C447F3D-58BF-4C58-9606-45E9C5AD285D}"/>
            </a:ext>
          </a:extLst>
        </xdr:cNvPr>
        <xdr:cNvSpPr txBox="1"/>
      </xdr:nvSpPr>
      <xdr:spPr>
        <a:xfrm>
          <a:off x="1469157" y="1595312"/>
          <a:ext cx="214649" cy="112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700">
              <a:latin typeface="Arial" panose="020B0604020202020204" pitchFamily="34" charset="0"/>
              <a:cs typeface="Arial" panose="020B0604020202020204" pitchFamily="34" charset="0"/>
            </a:rPr>
            <a:t> (DJ)</a:t>
          </a:r>
        </a:p>
      </xdr:txBody>
    </xdr:sp>
    <xdr:clientData/>
  </xdr:twoCellAnchor>
  <xdr:twoCellAnchor>
    <xdr:from>
      <xdr:col>18</xdr:col>
      <xdr:colOff>10397</xdr:colOff>
      <xdr:row>143</xdr:row>
      <xdr:rowOff>172522</xdr:rowOff>
    </xdr:from>
    <xdr:to>
      <xdr:col>27</xdr:col>
      <xdr:colOff>486298</xdr:colOff>
      <xdr:row>145</xdr:row>
      <xdr:rowOff>590</xdr:rowOff>
    </xdr:to>
    <xdr:sp macro="" textlink="">
      <xdr:nvSpPr>
        <xdr:cNvPr id="24" name="TekstSylinder 1">
          <a:extLst>
            <a:ext uri="{FF2B5EF4-FFF2-40B4-BE49-F238E27FC236}">
              <a16:creationId xmlns:a16="http://schemas.microsoft.com/office/drawing/2014/main" id="{E4FE2183-8DB3-454A-8480-6C2A689E71D1}"/>
            </a:ext>
          </a:extLst>
        </xdr:cNvPr>
        <xdr:cNvSpPr txBox="1"/>
      </xdr:nvSpPr>
      <xdr:spPr>
        <a:xfrm>
          <a:off x="7670587" y="22232744"/>
          <a:ext cx="4458717" cy="173700"/>
        </a:xfrm>
        <a:prstGeom prst="rect">
          <a:avLst/>
        </a:prstGeom>
        <a:noFill/>
        <a:ln w="6350">
          <a:solidFill>
            <a:schemeClr val="tx1">
              <a:lumMod val="50000"/>
              <a:lumOff val="50000"/>
            </a:schemeClr>
          </a:solidFill>
        </a:ln>
      </xdr:spPr>
      <xdr:txBody>
        <a:bodyPr wrap="square" lIns="0" tIns="0"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nb-NO" sz="800" baseline="30000">
              <a:solidFill>
                <a:schemeClr val="bg1">
                  <a:lumMod val="75000"/>
                </a:schemeClr>
              </a:solidFill>
            </a:rPr>
            <a:t> </a:t>
          </a:r>
          <a:r>
            <a:rPr lang="nb-NO" sz="800" baseline="0">
              <a:solidFill>
                <a:schemeClr val="bg1">
                  <a:lumMod val="75000"/>
                </a:schemeClr>
              </a:solidFill>
              <a:latin typeface="Arial" panose="020B0604020202020204" pitchFamily="34" charset="0"/>
              <a:cs typeface="Arial" panose="020B0604020202020204" pitchFamily="34" charset="0"/>
            </a:rPr>
            <a:t>Jointed rock, in shotcreted area, Pi ≈ ((10/Dt)</a:t>
          </a:r>
          <a:r>
            <a:rPr lang="nb-NO" sz="800" baseline="30000">
              <a:solidFill>
                <a:schemeClr val="bg1">
                  <a:lumMod val="75000"/>
                </a:schemeClr>
              </a:solidFill>
              <a:latin typeface="Arial" panose="020B0604020202020204" pitchFamily="34" charset="0"/>
              <a:cs typeface="Arial" panose="020B0604020202020204" pitchFamily="34" charset="0"/>
            </a:rPr>
            <a:t>0.5</a:t>
          </a:r>
          <a:r>
            <a:rPr lang="nb-NO" sz="800" baseline="0">
              <a:solidFill>
                <a:schemeClr val="bg1">
                  <a:lumMod val="75000"/>
                </a:schemeClr>
              </a:solidFill>
              <a:latin typeface="Arial" panose="020B0604020202020204" pitchFamily="34" charset="0"/>
              <a:cs typeface="Arial" panose="020B0604020202020204" pitchFamily="34" charset="0"/>
            </a:rPr>
            <a:t>)*(jC+1)*((UCS/100)</a:t>
          </a:r>
          <a:r>
            <a:rPr lang="nb-NO" sz="800" baseline="30000">
              <a:solidFill>
                <a:schemeClr val="bg1">
                  <a:lumMod val="75000"/>
                </a:schemeClr>
              </a:solidFill>
              <a:latin typeface="Arial" panose="020B0604020202020204" pitchFamily="34" charset="0"/>
              <a:cs typeface="Arial" panose="020B0604020202020204" pitchFamily="34" charset="0"/>
            </a:rPr>
            <a:t>0.4</a:t>
          </a:r>
          <a:r>
            <a:rPr lang="nb-NO" sz="800" baseline="0">
              <a:solidFill>
                <a:schemeClr val="bg1">
                  <a:lumMod val="75000"/>
                </a:schemeClr>
              </a:solidFill>
              <a:latin typeface="Arial" panose="020B0604020202020204" pitchFamily="34" charset="0"/>
              <a:cs typeface="Arial" panose="020B0604020202020204" pitchFamily="34" charset="0"/>
            </a:rPr>
            <a:t>) * Gc</a:t>
          </a:r>
          <a:r>
            <a:rPr lang="nb-NO" sz="800" baseline="30000">
              <a:solidFill>
                <a:schemeClr val="bg1">
                  <a:lumMod val="75000"/>
                </a:schemeClr>
              </a:solidFill>
              <a:latin typeface="Arial" panose="020B0604020202020204" pitchFamily="34" charset="0"/>
              <a:cs typeface="Arial" panose="020B0604020202020204" pitchFamily="34" charset="0"/>
            </a:rPr>
            <a:t>(-0.65*jC^0.25)</a:t>
          </a:r>
        </a:p>
      </xdr:txBody>
    </xdr:sp>
    <xdr:clientData/>
  </xdr:twoCellAnchor>
  <xdr:twoCellAnchor editAs="oneCell">
    <xdr:from>
      <xdr:col>1</xdr:col>
      <xdr:colOff>22975</xdr:colOff>
      <xdr:row>27</xdr:row>
      <xdr:rowOff>65163</xdr:rowOff>
    </xdr:from>
    <xdr:to>
      <xdr:col>3</xdr:col>
      <xdr:colOff>327880</xdr:colOff>
      <xdr:row>36</xdr:row>
      <xdr:rowOff>105814</xdr:rowOff>
    </xdr:to>
    <xdr:pic>
      <xdr:nvPicPr>
        <xdr:cNvPr id="15" name="Bilde 14">
          <a:extLst>
            <a:ext uri="{FF2B5EF4-FFF2-40B4-BE49-F238E27FC236}">
              <a16:creationId xmlns:a16="http://schemas.microsoft.com/office/drawing/2014/main" id="{5BB51C3A-5D9B-4235-86A6-C0946B05674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3064" y="3909181"/>
          <a:ext cx="1081648" cy="1255864"/>
        </a:xfrm>
        <a:prstGeom prst="rect">
          <a:avLst/>
        </a:prstGeom>
      </xdr:spPr>
    </xdr:pic>
    <xdr:clientData/>
  </xdr:twoCellAnchor>
  <xdr:oneCellAnchor>
    <xdr:from>
      <xdr:col>17</xdr:col>
      <xdr:colOff>484377</xdr:colOff>
      <xdr:row>143</xdr:row>
      <xdr:rowOff>15800</xdr:rowOff>
    </xdr:from>
    <xdr:ext cx="3490402" cy="133350"/>
    <xdr:sp macro="" textlink="">
      <xdr:nvSpPr>
        <xdr:cNvPr id="6" name="TekstSylinder 5">
          <a:extLst>
            <a:ext uri="{FF2B5EF4-FFF2-40B4-BE49-F238E27FC236}">
              <a16:creationId xmlns:a16="http://schemas.microsoft.com/office/drawing/2014/main" id="{0E3CA09D-6FDE-43D5-944F-02B4D88F4B4C}"/>
            </a:ext>
          </a:extLst>
        </xdr:cNvPr>
        <xdr:cNvSpPr txBox="1"/>
      </xdr:nvSpPr>
      <xdr:spPr>
        <a:xfrm>
          <a:off x="7650231" y="22076022"/>
          <a:ext cx="3490402" cy="133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t">
          <a:noAutofit/>
        </a:bodyPr>
        <a:lstStyle/>
        <a:p>
          <a:pPr algn="l"/>
          <a:r>
            <a:rPr lang="nb-NO" sz="800">
              <a:solidFill>
                <a:schemeClr val="bg1">
                  <a:lumMod val="75000"/>
                </a:schemeClr>
              </a:solidFill>
              <a:latin typeface="Arial" panose="020B0604020202020204" pitchFamily="34" charset="0"/>
              <a:cs typeface="Arial" panose="020B0604020202020204" pitchFamily="34" charset="0"/>
            </a:rPr>
            <a:t>INFO: Expressions developed for approx. necessary roof support capacity (MPa):</a:t>
          </a:r>
        </a:p>
        <a:p>
          <a:endParaRPr lang="nb-NO" sz="800">
            <a:solidFill>
              <a:schemeClr val="bg1">
                <a:lumMod val="75000"/>
              </a:schemeClr>
            </a:solidFill>
            <a:latin typeface="Arial" panose="020B0604020202020204" pitchFamily="34" charset="0"/>
            <a:cs typeface="Arial" panose="020B0604020202020204" pitchFamily="34" charset="0"/>
          </a:endParaRPr>
        </a:p>
      </xdr:txBody>
    </xdr:sp>
    <xdr:clientData/>
  </xdr:oneCellAnchor>
  <xdr:twoCellAnchor>
    <xdr:from>
      <xdr:col>5</xdr:col>
      <xdr:colOff>378492</xdr:colOff>
      <xdr:row>0</xdr:row>
      <xdr:rowOff>20528</xdr:rowOff>
    </xdr:from>
    <xdr:to>
      <xdr:col>5</xdr:col>
      <xdr:colOff>449543</xdr:colOff>
      <xdr:row>1</xdr:row>
      <xdr:rowOff>170697</xdr:rowOff>
    </xdr:to>
    <xdr:sp macro="" textlink="">
      <xdr:nvSpPr>
        <xdr:cNvPr id="10" name="TekstSylinder 9">
          <a:extLst>
            <a:ext uri="{FF2B5EF4-FFF2-40B4-BE49-F238E27FC236}">
              <a16:creationId xmlns:a16="http://schemas.microsoft.com/office/drawing/2014/main" id="{823DAAC0-612A-323B-4D8B-EF8A6D87002E}"/>
            </a:ext>
          </a:extLst>
        </xdr:cNvPr>
        <xdr:cNvSpPr txBox="1"/>
      </xdr:nvSpPr>
      <xdr:spPr>
        <a:xfrm>
          <a:off x="2074106" y="20528"/>
          <a:ext cx="71051" cy="35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lstStyle/>
        <a:p>
          <a:pPr algn="ctr"/>
          <a:r>
            <a:rPr lang="nb-NO" sz="600" b="0"/>
            <a:t>(version-3)</a:t>
          </a:r>
        </a:p>
        <a:p>
          <a:pPr algn="ctr"/>
          <a:endParaRPr lang="nb-NO" sz="600"/>
        </a:p>
      </xdr:txBody>
    </xdr:sp>
    <xdr:clientData/>
  </xdr:twoCellAnchor>
  <xdr:twoCellAnchor>
    <xdr:from>
      <xdr:col>0</xdr:col>
      <xdr:colOff>59176</xdr:colOff>
      <xdr:row>0</xdr:row>
      <xdr:rowOff>84962</xdr:rowOff>
    </xdr:from>
    <xdr:to>
      <xdr:col>0</xdr:col>
      <xdr:colOff>160199</xdr:colOff>
      <xdr:row>1</xdr:row>
      <xdr:rowOff>43747</xdr:rowOff>
    </xdr:to>
    <xdr:sp macro="" textlink="">
      <xdr:nvSpPr>
        <xdr:cNvPr id="19" name="TekstSylinder 18">
          <a:extLst>
            <a:ext uri="{FF2B5EF4-FFF2-40B4-BE49-F238E27FC236}">
              <a16:creationId xmlns:a16="http://schemas.microsoft.com/office/drawing/2014/main" id="{F137B351-DB38-4A92-A148-4DC78B20256B}"/>
            </a:ext>
          </a:extLst>
        </xdr:cNvPr>
        <xdr:cNvSpPr txBox="1"/>
      </xdr:nvSpPr>
      <xdr:spPr>
        <a:xfrm>
          <a:off x="59176" y="84962"/>
          <a:ext cx="101023" cy="166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900" b="1"/>
            <a:t>&amp;</a:t>
          </a:r>
        </a:p>
      </xdr:txBody>
    </xdr:sp>
    <xdr:clientData/>
  </xdr:twoCellAnchor>
  <xdr:twoCellAnchor>
    <xdr:from>
      <xdr:col>20</xdr:col>
      <xdr:colOff>216305</xdr:colOff>
      <xdr:row>18</xdr:row>
      <xdr:rowOff>103737</xdr:rowOff>
    </xdr:from>
    <xdr:to>
      <xdr:col>20</xdr:col>
      <xdr:colOff>286064</xdr:colOff>
      <xdr:row>19</xdr:row>
      <xdr:rowOff>39559</xdr:rowOff>
    </xdr:to>
    <xdr:sp macro="" textlink="">
      <xdr:nvSpPr>
        <xdr:cNvPr id="11" name="TekstSylinder 10">
          <a:extLst>
            <a:ext uri="{FF2B5EF4-FFF2-40B4-BE49-F238E27FC236}">
              <a16:creationId xmlns:a16="http://schemas.microsoft.com/office/drawing/2014/main" id="{BE58E49C-D082-4E96-4CA6-6649838B72FE}"/>
            </a:ext>
          </a:extLst>
        </xdr:cNvPr>
        <xdr:cNvSpPr txBox="1"/>
      </xdr:nvSpPr>
      <xdr:spPr>
        <a:xfrm>
          <a:off x="8901973" y="2637450"/>
          <a:ext cx="69759" cy="77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600"/>
            <a:t>&amp;</a:t>
          </a:r>
        </a:p>
      </xdr:txBody>
    </xdr:sp>
    <xdr:clientData/>
  </xdr:twoCellAnchor>
  <xdr:twoCellAnchor>
    <xdr:from>
      <xdr:col>12</xdr:col>
      <xdr:colOff>193329</xdr:colOff>
      <xdr:row>6</xdr:row>
      <xdr:rowOff>92177</xdr:rowOff>
    </xdr:from>
    <xdr:to>
      <xdr:col>12</xdr:col>
      <xdr:colOff>323663</xdr:colOff>
      <xdr:row>7</xdr:row>
      <xdr:rowOff>119832</xdr:rowOff>
    </xdr:to>
    <xdr:sp macro="" textlink="">
      <xdr:nvSpPr>
        <xdr:cNvPr id="13" name="TekstSylinder 12">
          <a:extLst>
            <a:ext uri="{FF2B5EF4-FFF2-40B4-BE49-F238E27FC236}">
              <a16:creationId xmlns:a16="http://schemas.microsoft.com/office/drawing/2014/main" id="{7D2EBD8E-D838-53B9-4D76-E0B3AD131DE4}"/>
            </a:ext>
          </a:extLst>
        </xdr:cNvPr>
        <xdr:cNvSpPr txBox="1"/>
      </xdr:nvSpPr>
      <xdr:spPr>
        <a:xfrm>
          <a:off x="5281188" y="1025816"/>
          <a:ext cx="130334" cy="16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nb-NO" sz="1100" b="1"/>
            <a:t>↓</a:t>
          </a:r>
        </a:p>
      </xdr:txBody>
    </xdr:sp>
    <xdr:clientData/>
  </xdr:twoCellAnchor>
  <xdr:twoCellAnchor>
    <xdr:from>
      <xdr:col>3</xdr:col>
      <xdr:colOff>9430</xdr:colOff>
      <xdr:row>16</xdr:row>
      <xdr:rowOff>4715</xdr:rowOff>
    </xdr:from>
    <xdr:to>
      <xdr:col>3</xdr:col>
      <xdr:colOff>140936</xdr:colOff>
      <xdr:row>24</xdr:row>
      <xdr:rowOff>140930</xdr:rowOff>
    </xdr:to>
    <xdr:sp macro="" textlink="">
      <xdr:nvSpPr>
        <xdr:cNvPr id="16" name="TekstSylinder 15">
          <a:extLst>
            <a:ext uri="{FF2B5EF4-FFF2-40B4-BE49-F238E27FC236}">
              <a16:creationId xmlns:a16="http://schemas.microsoft.com/office/drawing/2014/main" id="{6599DD92-D63A-80F4-7F7D-D04A7A249978}"/>
            </a:ext>
          </a:extLst>
        </xdr:cNvPr>
        <xdr:cNvSpPr txBox="1"/>
      </xdr:nvSpPr>
      <xdr:spPr>
        <a:xfrm rot="16200000">
          <a:off x="346581" y="2817416"/>
          <a:ext cx="1267898" cy="131506"/>
        </a:xfrm>
        <a:prstGeom prst="rect">
          <a:avLst/>
        </a:prstGeom>
        <a:solidFill>
          <a:srgbClr val="F2F2F2"/>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b-NO" sz="800"/>
            <a:t>Main joint set</a:t>
          </a:r>
        </a:p>
      </xdr:txBody>
    </xdr:sp>
    <xdr:clientData/>
  </xdr:twoCellAnchor>
  <xdr:twoCellAnchor>
    <xdr:from>
      <xdr:col>3</xdr:col>
      <xdr:colOff>141460</xdr:colOff>
      <xdr:row>16</xdr:row>
      <xdr:rowOff>0</xdr:rowOff>
    </xdr:from>
    <xdr:to>
      <xdr:col>3</xdr:col>
      <xdr:colOff>141460</xdr:colOff>
      <xdr:row>25</xdr:row>
      <xdr:rowOff>0</xdr:rowOff>
    </xdr:to>
    <xdr:cxnSp macro="">
      <xdr:nvCxnSpPr>
        <xdr:cNvPr id="25" name="Rett linje 24">
          <a:extLst>
            <a:ext uri="{FF2B5EF4-FFF2-40B4-BE49-F238E27FC236}">
              <a16:creationId xmlns:a16="http://schemas.microsoft.com/office/drawing/2014/main" id="{A0CE27AA-E651-0F11-21EB-1741FA05F8E6}"/>
            </a:ext>
          </a:extLst>
        </xdr:cNvPr>
        <xdr:cNvCxnSpPr/>
      </xdr:nvCxnSpPr>
      <xdr:spPr bwMode="auto">
        <a:xfrm>
          <a:off x="1046807" y="2244505"/>
          <a:ext cx="0" cy="1273144"/>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6</xdr:col>
      <xdr:colOff>275062</xdr:colOff>
      <xdr:row>3</xdr:row>
      <xdr:rowOff>4716</xdr:rowOff>
    </xdr:from>
    <xdr:to>
      <xdr:col>6</xdr:col>
      <xdr:colOff>275062</xdr:colOff>
      <xdr:row>4</xdr:row>
      <xdr:rowOff>4716</xdr:rowOff>
    </xdr:to>
    <xdr:cxnSp macro="">
      <xdr:nvCxnSpPr>
        <xdr:cNvPr id="27" name="Rett linje 26">
          <a:extLst>
            <a:ext uri="{FF2B5EF4-FFF2-40B4-BE49-F238E27FC236}">
              <a16:creationId xmlns:a16="http://schemas.microsoft.com/office/drawing/2014/main" id="{E68963F5-DAFC-D966-CAA3-DF86560DD854}"/>
            </a:ext>
          </a:extLst>
        </xdr:cNvPr>
        <xdr:cNvCxnSpPr/>
      </xdr:nvCxnSpPr>
      <xdr:spPr bwMode="auto">
        <a:xfrm>
          <a:off x="2422116" y="520261"/>
          <a:ext cx="0" cy="14146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6</xdr:col>
      <xdr:colOff>311213</xdr:colOff>
      <xdr:row>4</xdr:row>
      <xdr:rowOff>0</xdr:rowOff>
    </xdr:from>
    <xdr:to>
      <xdr:col>6</xdr:col>
      <xdr:colOff>452673</xdr:colOff>
      <xdr:row>4</xdr:row>
      <xdr:rowOff>0</xdr:rowOff>
    </xdr:to>
    <xdr:cxnSp macro="">
      <xdr:nvCxnSpPr>
        <xdr:cNvPr id="29" name="Rett linje 28">
          <a:extLst>
            <a:ext uri="{FF2B5EF4-FFF2-40B4-BE49-F238E27FC236}">
              <a16:creationId xmlns:a16="http://schemas.microsoft.com/office/drawing/2014/main" id="{188769BB-2A20-9CFB-2F87-902D5B9A7AC9}"/>
            </a:ext>
          </a:extLst>
        </xdr:cNvPr>
        <xdr:cNvCxnSpPr/>
      </xdr:nvCxnSpPr>
      <xdr:spPr bwMode="auto">
        <a:xfrm flipH="1">
          <a:off x="2475557" y="650718"/>
          <a:ext cx="14146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editAs="oneCell">
    <xdr:from>
      <xdr:col>27</xdr:col>
      <xdr:colOff>23174</xdr:colOff>
      <xdr:row>17</xdr:row>
      <xdr:rowOff>3310</xdr:rowOff>
    </xdr:from>
    <xdr:to>
      <xdr:col>29</xdr:col>
      <xdr:colOff>830</xdr:colOff>
      <xdr:row>19</xdr:row>
      <xdr:rowOff>137277</xdr:rowOff>
    </xdr:to>
    <xdr:pic>
      <xdr:nvPicPr>
        <xdr:cNvPr id="17" name="Bilde 16">
          <a:extLst>
            <a:ext uri="{FF2B5EF4-FFF2-40B4-BE49-F238E27FC236}">
              <a16:creationId xmlns:a16="http://schemas.microsoft.com/office/drawing/2014/main" id="{66FA1A2E-BE38-40F8-BA07-FF433F24284D}"/>
            </a:ext>
          </a:extLst>
        </xdr:cNvPr>
        <xdr:cNvPicPr>
          <a:picLocks noChangeAspect="1"/>
        </xdr:cNvPicPr>
      </xdr:nvPicPr>
      <xdr:blipFill>
        <a:blip xmlns:r="http://schemas.openxmlformats.org/officeDocument/2006/relationships" r:embed="rId5"/>
        <a:stretch>
          <a:fillRect/>
        </a:stretch>
      </xdr:blipFill>
      <xdr:spPr>
        <a:xfrm>
          <a:off x="11509946" y="2438178"/>
          <a:ext cx="1062727" cy="424129"/>
        </a:xfrm>
        <a:prstGeom prst="rect">
          <a:avLst/>
        </a:prstGeom>
      </xdr:spPr>
    </xdr:pic>
    <xdr:clientData/>
  </xdr:twoCellAnchor>
  <xdr:twoCellAnchor>
    <xdr:from>
      <xdr:col>2</xdr:col>
      <xdr:colOff>0</xdr:colOff>
      <xdr:row>41</xdr:row>
      <xdr:rowOff>3426</xdr:rowOff>
    </xdr:from>
    <xdr:to>
      <xdr:col>2</xdr:col>
      <xdr:colOff>291232</xdr:colOff>
      <xdr:row>41</xdr:row>
      <xdr:rowOff>147329</xdr:rowOff>
    </xdr:to>
    <xdr:sp macro="" textlink="">
      <xdr:nvSpPr>
        <xdr:cNvPr id="20" name="Rettvinklet trekant 19">
          <a:extLst>
            <a:ext uri="{FF2B5EF4-FFF2-40B4-BE49-F238E27FC236}">
              <a16:creationId xmlns:a16="http://schemas.microsoft.com/office/drawing/2014/main" id="{C16EE9E7-D044-1EFB-BD81-779ABF23155A}"/>
            </a:ext>
          </a:extLst>
        </xdr:cNvPr>
        <xdr:cNvSpPr/>
      </xdr:nvSpPr>
      <xdr:spPr bwMode="auto">
        <a:xfrm>
          <a:off x="589317" y="5769820"/>
          <a:ext cx="291232" cy="143903"/>
        </a:xfrm>
        <a:prstGeom prst="rtTriangle">
          <a:avLst/>
        </a:prstGeom>
        <a:solidFill>
          <a:schemeClr val="bg1">
            <a:lumMod val="9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6</xdr:col>
      <xdr:colOff>210057</xdr:colOff>
      <xdr:row>15</xdr:row>
      <xdr:rowOff>14487</xdr:rowOff>
    </xdr:from>
    <xdr:to>
      <xdr:col>8</xdr:col>
      <xdr:colOff>43460</xdr:colOff>
      <xdr:row>15</xdr:row>
      <xdr:rowOff>134002</xdr:rowOff>
    </xdr:to>
    <xdr:sp macro="" textlink="">
      <xdr:nvSpPr>
        <xdr:cNvPr id="21" name="TekstSylinder 20">
          <a:extLst>
            <a:ext uri="{FF2B5EF4-FFF2-40B4-BE49-F238E27FC236}">
              <a16:creationId xmlns:a16="http://schemas.microsoft.com/office/drawing/2014/main" id="{EA8C91CA-E490-E513-D0F8-7ED7F81999AD}"/>
            </a:ext>
          </a:extLst>
        </xdr:cNvPr>
        <xdr:cNvSpPr txBox="1"/>
      </xdr:nvSpPr>
      <xdr:spPr>
        <a:xfrm>
          <a:off x="2361331" y="2129544"/>
          <a:ext cx="746064" cy="1195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lang="nb-NO" sz="700">
              <a:latin typeface="+mn-lt"/>
            </a:rPr>
            <a:t>for information of </a:t>
          </a:r>
          <a:r>
            <a:rPr lang="nb-NO" sz="700">
              <a:latin typeface="Symbol" panose="05050102010706020507" pitchFamily="18" charset="2"/>
            </a:rPr>
            <a:t>b</a:t>
          </a:r>
          <a:r>
            <a:rPr lang="nb-NO" sz="600"/>
            <a:t>, </a:t>
          </a:r>
        </a:p>
      </xdr:txBody>
    </xdr:sp>
    <xdr:clientData/>
  </xdr:twoCellAnchor>
  <xdr:twoCellAnchor>
    <xdr:from>
      <xdr:col>17</xdr:col>
      <xdr:colOff>119514</xdr:colOff>
      <xdr:row>9</xdr:row>
      <xdr:rowOff>138043</xdr:rowOff>
    </xdr:from>
    <xdr:to>
      <xdr:col>17</xdr:col>
      <xdr:colOff>376653</xdr:colOff>
      <xdr:row>20</xdr:row>
      <xdr:rowOff>63079</xdr:rowOff>
    </xdr:to>
    <xdr:sp macro="" textlink="">
      <xdr:nvSpPr>
        <xdr:cNvPr id="22" name="TekstSylinder 21">
          <a:extLst>
            <a:ext uri="{FF2B5EF4-FFF2-40B4-BE49-F238E27FC236}">
              <a16:creationId xmlns:a16="http://schemas.microsoft.com/office/drawing/2014/main" id="{970B5B53-9644-A80E-C69F-0B206D906DB7}"/>
            </a:ext>
          </a:extLst>
        </xdr:cNvPr>
        <xdr:cNvSpPr txBox="1"/>
      </xdr:nvSpPr>
      <xdr:spPr>
        <a:xfrm>
          <a:off x="7219550" y="1495471"/>
          <a:ext cx="257139" cy="1402101"/>
        </a:xfrm>
        <a:prstGeom prst="rect">
          <a:avLst/>
        </a:prstGeom>
        <a:solidFill>
          <a:srgbClr val="EDF7F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nb-NO" sz="900">
              <a:solidFill>
                <a:srgbClr val="0000FF"/>
              </a:solidFill>
            </a:rPr>
            <a:t>Blue cells are for your input</a:t>
          </a:r>
        </a:p>
      </xdr:txBody>
    </xdr:sp>
    <xdr:clientData/>
  </xdr:twoCellAnchor>
  <xdr:twoCellAnchor>
    <xdr:from>
      <xdr:col>18</xdr:col>
      <xdr:colOff>5099</xdr:colOff>
      <xdr:row>145</xdr:row>
      <xdr:rowOff>19933</xdr:rowOff>
    </xdr:from>
    <xdr:to>
      <xdr:col>27</xdr:col>
      <xdr:colOff>490317</xdr:colOff>
      <xdr:row>146</xdr:row>
      <xdr:rowOff>588</xdr:rowOff>
    </xdr:to>
    <xdr:sp macro="" textlink="">
      <xdr:nvSpPr>
        <xdr:cNvPr id="7" name="TekstSylinder 1">
          <a:extLst>
            <a:ext uri="{FF2B5EF4-FFF2-40B4-BE49-F238E27FC236}">
              <a16:creationId xmlns:a16="http://schemas.microsoft.com/office/drawing/2014/main" id="{DD6A4E9C-A3D0-4953-A88E-DEFCE6FB72D0}"/>
            </a:ext>
          </a:extLst>
        </xdr:cNvPr>
        <xdr:cNvSpPr txBox="1"/>
      </xdr:nvSpPr>
      <xdr:spPr>
        <a:xfrm>
          <a:off x="7665289" y="22425787"/>
          <a:ext cx="4468034" cy="153472"/>
        </a:xfrm>
        <a:prstGeom prst="rect">
          <a:avLst/>
        </a:prstGeom>
        <a:ln w="6350">
          <a:solidFill>
            <a:schemeClr val="tx1">
              <a:lumMod val="50000"/>
              <a:lumOff val="50000"/>
            </a:schemeClr>
          </a:solidFill>
        </a:ln>
      </xdr:spPr>
      <xdr:txBody>
        <a:bodyPr wrap="square" lIns="0" tIns="0"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nb-NO" sz="800" baseline="30000">
              <a:solidFill>
                <a:schemeClr val="bg1">
                  <a:lumMod val="75000"/>
                </a:schemeClr>
              </a:solidFill>
            </a:rPr>
            <a:t> </a:t>
          </a:r>
          <a:r>
            <a:rPr lang="nb-NO" sz="800" baseline="0">
              <a:solidFill>
                <a:schemeClr val="bg1">
                  <a:lumMod val="75000"/>
                </a:schemeClr>
              </a:solidFill>
              <a:latin typeface="Arial" panose="020B0604020202020204" pitchFamily="34" charset="0"/>
              <a:cs typeface="Arial" panose="020B0604020202020204" pitchFamily="34" charset="0"/>
            </a:rPr>
            <a:t>Jointed rock, outside shotcreted area, Pi ≈ ((10/Dt)</a:t>
          </a:r>
          <a:r>
            <a:rPr lang="nb-NO" sz="800" baseline="30000">
              <a:solidFill>
                <a:schemeClr val="bg1">
                  <a:lumMod val="75000"/>
                </a:schemeClr>
              </a:solidFill>
              <a:latin typeface="Arial" panose="020B0604020202020204" pitchFamily="34" charset="0"/>
              <a:cs typeface="Arial" panose="020B0604020202020204" pitchFamily="34" charset="0"/>
            </a:rPr>
            <a:t>0.5</a:t>
          </a:r>
          <a:r>
            <a:rPr lang="nb-NO" sz="800" baseline="0">
              <a:solidFill>
                <a:schemeClr val="bg1">
                  <a:lumMod val="75000"/>
                </a:schemeClr>
              </a:solidFill>
              <a:latin typeface="Arial" panose="020B0604020202020204" pitchFamily="34" charset="0"/>
              <a:cs typeface="Arial" panose="020B0604020202020204" pitchFamily="34" charset="0"/>
            </a:rPr>
            <a:t>)*0.4*jC*((UCS/100)</a:t>
          </a:r>
          <a:r>
            <a:rPr lang="nb-NO" sz="800" baseline="30000">
              <a:solidFill>
                <a:schemeClr val="bg1">
                  <a:lumMod val="75000"/>
                </a:schemeClr>
              </a:solidFill>
              <a:latin typeface="Arial" panose="020B0604020202020204" pitchFamily="34" charset="0"/>
              <a:cs typeface="Arial" panose="020B0604020202020204" pitchFamily="34" charset="0"/>
            </a:rPr>
            <a:t>0.4</a:t>
          </a:r>
          <a:r>
            <a:rPr lang="nb-NO" sz="800" baseline="0">
              <a:solidFill>
                <a:schemeClr val="bg1">
                  <a:lumMod val="75000"/>
                </a:schemeClr>
              </a:solidFill>
              <a:latin typeface="Arial" panose="020B0604020202020204" pitchFamily="34" charset="0"/>
              <a:cs typeface="Arial" panose="020B0604020202020204" pitchFamily="34" charset="0"/>
            </a:rPr>
            <a:t>) * Gc</a:t>
          </a:r>
          <a:r>
            <a:rPr lang="nb-NO" sz="800" baseline="30000">
              <a:solidFill>
                <a:schemeClr val="bg1">
                  <a:lumMod val="75000"/>
                </a:schemeClr>
              </a:solidFill>
              <a:latin typeface="Arial" panose="020B0604020202020204" pitchFamily="34" charset="0"/>
              <a:cs typeface="Arial" panose="020B0604020202020204" pitchFamily="34" charset="0"/>
            </a:rPr>
            <a:t>(-0.65*jC^0.25)</a:t>
          </a:r>
        </a:p>
      </xdr:txBody>
    </xdr:sp>
    <xdr:clientData/>
  </xdr:twoCellAnchor>
  <xdr:twoCellAnchor>
    <xdr:from>
      <xdr:col>18</xdr:col>
      <xdr:colOff>273666</xdr:colOff>
      <xdr:row>150</xdr:row>
      <xdr:rowOff>12056</xdr:rowOff>
    </xdr:from>
    <xdr:to>
      <xdr:col>28</xdr:col>
      <xdr:colOff>373180</xdr:colOff>
      <xdr:row>151</xdr:row>
      <xdr:rowOff>10371</xdr:rowOff>
    </xdr:to>
    <xdr:sp macro="" textlink="">
      <xdr:nvSpPr>
        <xdr:cNvPr id="12" name="TekstSylinder 11">
          <a:extLst>
            <a:ext uri="{FF2B5EF4-FFF2-40B4-BE49-F238E27FC236}">
              <a16:creationId xmlns:a16="http://schemas.microsoft.com/office/drawing/2014/main" id="{BE2D17A8-ABA2-FE92-2B8F-EC1E3DBE3234}"/>
            </a:ext>
          </a:extLst>
        </xdr:cNvPr>
        <xdr:cNvSpPr txBox="1"/>
      </xdr:nvSpPr>
      <xdr:spPr>
        <a:xfrm>
          <a:off x="7861679" y="23280778"/>
          <a:ext cx="4673647" cy="1689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387961</xdr:colOff>
      <xdr:row>0</xdr:row>
      <xdr:rowOff>47461</xdr:rowOff>
    </xdr:from>
    <xdr:to>
      <xdr:col>13</xdr:col>
      <xdr:colOff>870</xdr:colOff>
      <xdr:row>2</xdr:row>
      <xdr:rowOff>24601</xdr:rowOff>
    </xdr:to>
    <xdr:pic>
      <xdr:nvPicPr>
        <xdr:cNvPr id="17860" name="Picture 1174">
          <a:extLst>
            <a:ext uri="{FF2B5EF4-FFF2-40B4-BE49-F238E27FC236}">
              <a16:creationId xmlns:a16="http://schemas.microsoft.com/office/drawing/2014/main" id="{00000000-0008-0000-0300-0000C44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7544" y="47461"/>
          <a:ext cx="569760" cy="3357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241217</xdr:colOff>
      <xdr:row>44</xdr:row>
      <xdr:rowOff>55666</xdr:rowOff>
    </xdr:from>
    <xdr:to>
      <xdr:col>32</xdr:col>
      <xdr:colOff>106778</xdr:colOff>
      <xdr:row>65</xdr:row>
      <xdr:rowOff>121585</xdr:rowOff>
    </xdr:to>
    <xdr:pic>
      <xdr:nvPicPr>
        <xdr:cNvPr id="3" name="Bilde 2">
          <a:extLst>
            <a:ext uri="{FF2B5EF4-FFF2-40B4-BE49-F238E27FC236}">
              <a16:creationId xmlns:a16="http://schemas.microsoft.com/office/drawing/2014/main" id="{C40586AC-9B57-417E-B0CC-5C4856104E98}"/>
            </a:ext>
          </a:extLst>
        </xdr:cNvPr>
        <xdr:cNvPicPr>
          <a:picLocks noChangeAspect="1"/>
        </xdr:cNvPicPr>
      </xdr:nvPicPr>
      <xdr:blipFill>
        <a:blip xmlns:r="http://schemas.openxmlformats.org/officeDocument/2006/relationships" r:embed="rId2"/>
        <a:stretch>
          <a:fillRect/>
        </a:stretch>
      </xdr:blipFill>
      <xdr:spPr>
        <a:xfrm>
          <a:off x="8331282" y="6556169"/>
          <a:ext cx="4277623" cy="3442965"/>
        </a:xfrm>
        <a:prstGeom prst="rect">
          <a:avLst/>
        </a:prstGeom>
      </xdr:spPr>
    </xdr:pic>
    <xdr:clientData/>
  </xdr:twoCellAnchor>
  <xdr:twoCellAnchor>
    <xdr:from>
      <xdr:col>0</xdr:col>
      <xdr:colOff>322783</xdr:colOff>
      <xdr:row>201</xdr:row>
      <xdr:rowOff>130325</xdr:rowOff>
    </xdr:from>
    <xdr:to>
      <xdr:col>5</xdr:col>
      <xdr:colOff>282236</xdr:colOff>
      <xdr:row>202</xdr:row>
      <xdr:rowOff>95626</xdr:rowOff>
    </xdr:to>
    <xdr:sp macro="" textlink="">
      <xdr:nvSpPr>
        <xdr:cNvPr id="2" name="TekstSylinder 1">
          <a:extLst>
            <a:ext uri="{FF2B5EF4-FFF2-40B4-BE49-F238E27FC236}">
              <a16:creationId xmlns:a16="http://schemas.microsoft.com/office/drawing/2014/main" id="{9DBDBF93-8A4F-3B1A-BBAD-3EEEF820ACF8}"/>
            </a:ext>
          </a:extLst>
        </xdr:cNvPr>
        <xdr:cNvSpPr txBox="1"/>
      </xdr:nvSpPr>
      <xdr:spPr>
        <a:xfrm>
          <a:off x="322783" y="30388510"/>
          <a:ext cx="3077912" cy="128400"/>
        </a:xfrm>
        <a:prstGeom prst="rect">
          <a:avLst/>
        </a:prstGeom>
        <a:solidFill>
          <a:schemeClr val="lt1"/>
        </a:solidFill>
        <a:ln w="9525"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700">
              <a:solidFill>
                <a:srgbClr val="0000CC"/>
              </a:solidFill>
            </a:rPr>
            <a:t>text here is shown in the INFORMATION column in the 'INPUT and ESTIMATE' sheet</a:t>
          </a:r>
        </a:p>
      </xdr:txBody>
    </xdr:sp>
    <xdr:clientData/>
  </xdr:twoCellAnchor>
  <xdr:twoCellAnchor>
    <xdr:from>
      <xdr:col>0</xdr:col>
      <xdr:colOff>176147</xdr:colOff>
      <xdr:row>200</xdr:row>
      <xdr:rowOff>9183</xdr:rowOff>
    </xdr:from>
    <xdr:to>
      <xdr:col>0</xdr:col>
      <xdr:colOff>184014</xdr:colOff>
      <xdr:row>202</xdr:row>
      <xdr:rowOff>39144</xdr:rowOff>
    </xdr:to>
    <xdr:cxnSp macro="">
      <xdr:nvCxnSpPr>
        <xdr:cNvPr id="5" name="Rett pilkobling 4">
          <a:extLst>
            <a:ext uri="{FF2B5EF4-FFF2-40B4-BE49-F238E27FC236}">
              <a16:creationId xmlns:a16="http://schemas.microsoft.com/office/drawing/2014/main" id="{A85F161A-B4CF-C8DB-6845-BB21F0475316}"/>
            </a:ext>
          </a:extLst>
        </xdr:cNvPr>
        <xdr:cNvCxnSpPr/>
      </xdr:nvCxnSpPr>
      <xdr:spPr bwMode="auto">
        <a:xfrm flipV="1">
          <a:off x="176147" y="30097745"/>
          <a:ext cx="7867" cy="362683"/>
        </a:xfrm>
        <a:prstGeom prst="straightConnector1">
          <a:avLst/>
        </a:prstGeom>
        <a:solidFill>
          <a:srgbClr val="FFFFFF"/>
        </a:solidFill>
        <a:ln w="9525" cap="flat" cmpd="sng" algn="ctr">
          <a:solidFill>
            <a:schemeClr val="tx2">
              <a:lumMod val="60000"/>
              <a:lumOff val="40000"/>
            </a:schemeClr>
          </a:solidFill>
          <a:prstDash val="solid"/>
          <a:round/>
          <a:headEnd type="none" w="med" len="med"/>
          <a:tailEnd type="triangle"/>
        </a:ln>
        <a:effectLst/>
      </xdr:spPr>
    </xdr:cxnSp>
    <xdr:clientData/>
  </xdr:twoCellAnchor>
  <xdr:twoCellAnchor>
    <xdr:from>
      <xdr:col>0</xdr:col>
      <xdr:colOff>175144</xdr:colOff>
      <xdr:row>202</xdr:row>
      <xdr:rowOff>26371</xdr:rowOff>
    </xdr:from>
    <xdr:to>
      <xdr:col>0</xdr:col>
      <xdr:colOff>322783</xdr:colOff>
      <xdr:row>202</xdr:row>
      <xdr:rowOff>32938</xdr:rowOff>
    </xdr:to>
    <xdr:cxnSp macro="">
      <xdr:nvCxnSpPr>
        <xdr:cNvPr id="10" name="Rett linje 9">
          <a:extLst>
            <a:ext uri="{FF2B5EF4-FFF2-40B4-BE49-F238E27FC236}">
              <a16:creationId xmlns:a16="http://schemas.microsoft.com/office/drawing/2014/main" id="{340C81F4-765B-722F-3824-0C2EDF6FBA57}"/>
            </a:ext>
          </a:extLst>
        </xdr:cNvPr>
        <xdr:cNvCxnSpPr>
          <a:endCxn id="2" idx="1"/>
        </xdr:cNvCxnSpPr>
      </xdr:nvCxnSpPr>
      <xdr:spPr bwMode="auto">
        <a:xfrm flipV="1">
          <a:off x="175144" y="30447655"/>
          <a:ext cx="147639" cy="6567"/>
        </a:xfrm>
        <a:prstGeom prst="line">
          <a:avLst/>
        </a:prstGeom>
        <a:solidFill>
          <a:srgbClr val="FFFFFF"/>
        </a:solidFill>
        <a:ln w="9525" cap="flat" cmpd="sng" algn="ctr">
          <a:solidFill>
            <a:srgbClr val="0000CC"/>
          </a:solidFill>
          <a:prstDash val="solid"/>
          <a:round/>
          <a:headEnd type="none" w="med" len="med"/>
          <a:tailEnd type="none" w="med" len="med"/>
        </a:ln>
        <a:effectLst/>
      </xdr:spPr>
    </xdr:cxnSp>
    <xdr:clientData/>
  </xdr:twoCellAnchor>
  <xdr:twoCellAnchor>
    <xdr:from>
      <xdr:col>0</xdr:col>
      <xdr:colOff>87629</xdr:colOff>
      <xdr:row>1</xdr:row>
      <xdr:rowOff>148590</xdr:rowOff>
    </xdr:from>
    <xdr:to>
      <xdr:col>6</xdr:col>
      <xdr:colOff>278781</xdr:colOff>
      <xdr:row>2</xdr:row>
      <xdr:rowOff>117593</xdr:rowOff>
    </xdr:to>
    <xdr:sp macro="" textlink="">
      <xdr:nvSpPr>
        <xdr:cNvPr id="4" name="TekstSylinder 3">
          <a:extLst>
            <a:ext uri="{FF2B5EF4-FFF2-40B4-BE49-F238E27FC236}">
              <a16:creationId xmlns:a16="http://schemas.microsoft.com/office/drawing/2014/main" id="{99DEB60C-F678-49C2-A9E0-6664E954BBAF}"/>
            </a:ext>
          </a:extLst>
        </xdr:cNvPr>
        <xdr:cNvSpPr txBox="1"/>
      </xdr:nvSpPr>
      <xdr:spPr>
        <a:xfrm>
          <a:off x="87629" y="348963"/>
          <a:ext cx="3661388" cy="131625"/>
        </a:xfrm>
        <a:prstGeom prst="rect">
          <a:avLst/>
        </a:prstGeom>
        <a:solidFill>
          <a:schemeClr val="lt1"/>
        </a:solidFill>
        <a:ln w="9525"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700">
              <a:solidFill>
                <a:srgbClr val="0000CC"/>
              </a:solidFill>
            </a:rPr>
            <a:t>text in this column is presented in the INFORMATION column in the 'INPUT and ESTIMATE' sheet</a:t>
          </a:r>
        </a:p>
      </xdr:txBody>
    </xdr:sp>
    <xdr:clientData/>
  </xdr:twoCellAnchor>
  <xdr:twoCellAnchor>
    <xdr:from>
      <xdr:col>0</xdr:col>
      <xdr:colOff>208767</xdr:colOff>
      <xdr:row>2</xdr:row>
      <xdr:rowOff>119063</xdr:rowOff>
    </xdr:from>
    <xdr:to>
      <xdr:col>0</xdr:col>
      <xdr:colOff>220701</xdr:colOff>
      <xdr:row>5</xdr:row>
      <xdr:rowOff>0</xdr:rowOff>
    </xdr:to>
    <xdr:cxnSp macro="">
      <xdr:nvCxnSpPr>
        <xdr:cNvPr id="6" name="Rett pilkobling 5">
          <a:extLst>
            <a:ext uri="{FF2B5EF4-FFF2-40B4-BE49-F238E27FC236}">
              <a16:creationId xmlns:a16="http://schemas.microsoft.com/office/drawing/2014/main" id="{3852E246-8FAA-4EEE-A1C2-62E09D97A970}"/>
            </a:ext>
          </a:extLst>
        </xdr:cNvPr>
        <xdr:cNvCxnSpPr/>
      </xdr:nvCxnSpPr>
      <xdr:spPr bwMode="auto">
        <a:xfrm flipH="1">
          <a:off x="208767" y="484405"/>
          <a:ext cx="11934" cy="435475"/>
        </a:xfrm>
        <a:prstGeom prst="straightConnector1">
          <a:avLst/>
        </a:prstGeom>
        <a:solidFill>
          <a:srgbClr val="FFFFFF"/>
        </a:solidFill>
        <a:ln w="9525" cap="flat" cmpd="sng" algn="ctr">
          <a:solidFill>
            <a:schemeClr val="tx2">
              <a:lumMod val="60000"/>
              <a:lumOff val="40000"/>
            </a:schemeClr>
          </a:solidFill>
          <a:prstDash val="solid"/>
          <a:round/>
          <a:headEnd type="none" w="med" len="med"/>
          <a:tailEnd type="triangle"/>
        </a:ln>
        <a:effectLst/>
      </xdr:spPr>
    </xdr:cxnSp>
    <xdr:clientData/>
  </xdr:twoCellAnchor>
  <xdr:twoCellAnchor>
    <xdr:from>
      <xdr:col>13</xdr:col>
      <xdr:colOff>187855</xdr:colOff>
      <xdr:row>3</xdr:row>
      <xdr:rowOff>181682</xdr:rowOff>
    </xdr:from>
    <xdr:to>
      <xdr:col>16</xdr:col>
      <xdr:colOff>301625</xdr:colOff>
      <xdr:row>6</xdr:row>
      <xdr:rowOff>71437</xdr:rowOff>
    </xdr:to>
    <xdr:sp macro="" textlink="">
      <xdr:nvSpPr>
        <xdr:cNvPr id="7" name="Rektangel 6">
          <a:extLst>
            <a:ext uri="{FF2B5EF4-FFF2-40B4-BE49-F238E27FC236}">
              <a16:creationId xmlns:a16="http://schemas.microsoft.com/office/drawing/2014/main" id="{447320C3-54D2-0EB8-D842-CCF722238209}"/>
            </a:ext>
          </a:extLst>
        </xdr:cNvPr>
        <xdr:cNvSpPr/>
      </xdr:nvSpPr>
      <xdr:spPr bwMode="auto">
        <a:xfrm>
          <a:off x="7514168" y="737307"/>
          <a:ext cx="1336145" cy="389818"/>
        </a:xfrm>
        <a:prstGeom prst="rect">
          <a:avLst/>
        </a:prstGeom>
        <a:noFill/>
        <a:ln w="28575" cap="flat" cmpd="sng" algn="ctr">
          <a:solidFill>
            <a:srgbClr val="0000CC"/>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14</xdr:col>
      <xdr:colOff>703230</xdr:colOff>
      <xdr:row>198</xdr:row>
      <xdr:rowOff>132521</xdr:rowOff>
    </xdr:from>
    <xdr:to>
      <xdr:col>24</xdr:col>
      <xdr:colOff>199005</xdr:colOff>
      <xdr:row>200</xdr:row>
      <xdr:rowOff>26809</xdr:rowOff>
    </xdr:to>
    <xdr:sp macro="" textlink="">
      <xdr:nvSpPr>
        <xdr:cNvPr id="12" name="Rektangel 11">
          <a:extLst>
            <a:ext uri="{FF2B5EF4-FFF2-40B4-BE49-F238E27FC236}">
              <a16:creationId xmlns:a16="http://schemas.microsoft.com/office/drawing/2014/main" id="{79E5457A-DF02-8CF0-137A-705A232A93FA}"/>
            </a:ext>
          </a:extLst>
        </xdr:cNvPr>
        <xdr:cNvSpPr/>
      </xdr:nvSpPr>
      <xdr:spPr bwMode="auto">
        <a:xfrm>
          <a:off x="7685469" y="30214956"/>
          <a:ext cx="2891645" cy="258723"/>
        </a:xfrm>
        <a:prstGeom prst="rect">
          <a:avLst/>
        </a:prstGeom>
        <a:noFill/>
        <a:ln w="28575" cap="flat" cmpd="sng" algn="ctr">
          <a:solidFill>
            <a:srgbClr val="0000CC"/>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64261</xdr:colOff>
      <xdr:row>3</xdr:row>
      <xdr:rowOff>59434</xdr:rowOff>
    </xdr:from>
    <xdr:to>
      <xdr:col>10</xdr:col>
      <xdr:colOff>23672</xdr:colOff>
      <xdr:row>48</xdr:row>
      <xdr:rowOff>38085</xdr:rowOff>
    </xdr:to>
    <xdr:pic>
      <xdr:nvPicPr>
        <xdr:cNvPr id="7" name="Bilde 6">
          <a:extLst>
            <a:ext uri="{FF2B5EF4-FFF2-40B4-BE49-F238E27FC236}">
              <a16:creationId xmlns:a16="http://schemas.microsoft.com/office/drawing/2014/main" id="{6BE6E4B9-ADD7-413E-BB26-858E7EB166BB}"/>
            </a:ext>
          </a:extLst>
        </xdr:cNvPr>
        <xdr:cNvPicPr>
          <a:picLocks noChangeAspect="1"/>
        </xdr:cNvPicPr>
      </xdr:nvPicPr>
      <xdr:blipFill>
        <a:blip xmlns:r="http://schemas.openxmlformats.org/officeDocument/2006/relationships" r:embed="rId1"/>
        <a:stretch>
          <a:fillRect/>
        </a:stretch>
      </xdr:blipFill>
      <xdr:spPr>
        <a:xfrm>
          <a:off x="64261" y="764284"/>
          <a:ext cx="7246036" cy="72652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38067</xdr:colOff>
      <xdr:row>3</xdr:row>
      <xdr:rowOff>65169</xdr:rowOff>
    </xdr:from>
    <xdr:to>
      <xdr:col>18</xdr:col>
      <xdr:colOff>564983</xdr:colOff>
      <xdr:row>35</xdr:row>
      <xdr:rowOff>148389</xdr:rowOff>
    </xdr:to>
    <xdr:pic>
      <xdr:nvPicPr>
        <xdr:cNvPr id="6" name="Bilde 5">
          <a:extLst>
            <a:ext uri="{FF2B5EF4-FFF2-40B4-BE49-F238E27FC236}">
              <a16:creationId xmlns:a16="http://schemas.microsoft.com/office/drawing/2014/main" id="{AC77D8C7-C940-40E1-B92A-66AFE4F96936}"/>
            </a:ext>
          </a:extLst>
        </xdr:cNvPr>
        <xdr:cNvPicPr>
          <a:picLocks noChangeAspect="1"/>
        </xdr:cNvPicPr>
      </xdr:nvPicPr>
      <xdr:blipFill>
        <a:blip xmlns:r="http://schemas.openxmlformats.org/officeDocument/2006/relationships" r:embed="rId1"/>
        <a:stretch>
          <a:fillRect/>
        </a:stretch>
      </xdr:blipFill>
      <xdr:spPr>
        <a:xfrm>
          <a:off x="8349883" y="696827"/>
          <a:ext cx="4336916" cy="5397167"/>
        </a:xfrm>
        <a:prstGeom prst="rect">
          <a:avLst/>
        </a:prstGeom>
      </xdr:spPr>
    </xdr:pic>
    <xdr:clientData/>
  </xdr:twoCellAnchor>
  <xdr:twoCellAnchor editAs="oneCell">
    <xdr:from>
      <xdr:col>1</xdr:col>
      <xdr:colOff>1</xdr:colOff>
      <xdr:row>47</xdr:row>
      <xdr:rowOff>50133</xdr:rowOff>
    </xdr:from>
    <xdr:to>
      <xdr:col>12</xdr:col>
      <xdr:colOff>20053</xdr:colOff>
      <xdr:row>67</xdr:row>
      <xdr:rowOff>53406</xdr:rowOff>
    </xdr:to>
    <xdr:pic>
      <xdr:nvPicPr>
        <xdr:cNvPr id="3" name="Bilde 2">
          <a:extLst>
            <a:ext uri="{FF2B5EF4-FFF2-40B4-BE49-F238E27FC236}">
              <a16:creationId xmlns:a16="http://schemas.microsoft.com/office/drawing/2014/main" id="{7A7B013E-ABD7-E764-4AA9-D0A3A02A9DD9}"/>
            </a:ext>
          </a:extLst>
        </xdr:cNvPr>
        <xdr:cNvPicPr>
          <a:picLocks noChangeAspect="1"/>
        </xdr:cNvPicPr>
      </xdr:nvPicPr>
      <xdr:blipFill>
        <a:blip xmlns:r="http://schemas.openxmlformats.org/officeDocument/2006/relationships" r:embed="rId2"/>
        <a:stretch>
          <a:fillRect/>
        </a:stretch>
      </xdr:blipFill>
      <xdr:spPr>
        <a:xfrm>
          <a:off x="160422" y="8091238"/>
          <a:ext cx="7870657" cy="3342036"/>
        </a:xfrm>
        <a:prstGeom prst="rect">
          <a:avLst/>
        </a:prstGeom>
      </xdr:spPr>
    </xdr:pic>
    <xdr:clientData/>
  </xdr:twoCellAnchor>
  <xdr:twoCellAnchor>
    <xdr:from>
      <xdr:col>7</xdr:col>
      <xdr:colOff>250657</xdr:colOff>
      <xdr:row>52</xdr:row>
      <xdr:rowOff>60157</xdr:rowOff>
    </xdr:from>
    <xdr:to>
      <xdr:col>7</xdr:col>
      <xdr:colOff>250658</xdr:colOff>
      <xdr:row>61</xdr:row>
      <xdr:rowOff>50132</xdr:rowOff>
    </xdr:to>
    <xdr:cxnSp macro="">
      <xdr:nvCxnSpPr>
        <xdr:cNvPr id="7" name="Rett linje 6">
          <a:extLst>
            <a:ext uri="{FF2B5EF4-FFF2-40B4-BE49-F238E27FC236}">
              <a16:creationId xmlns:a16="http://schemas.microsoft.com/office/drawing/2014/main" id="{146D75F4-9C3E-4413-615E-4FE12D988417}"/>
            </a:ext>
          </a:extLst>
        </xdr:cNvPr>
        <xdr:cNvCxnSpPr/>
      </xdr:nvCxnSpPr>
      <xdr:spPr bwMode="auto">
        <a:xfrm flipV="1">
          <a:off x="4983078" y="9033710"/>
          <a:ext cx="1" cy="1433764"/>
        </a:xfrm>
        <a:prstGeom prst="line">
          <a:avLst/>
        </a:prstGeom>
        <a:solidFill>
          <a:srgbClr val="FFFFFF"/>
        </a:solidFill>
        <a:ln w="28575" cap="flat" cmpd="sng" algn="ctr">
          <a:solidFill>
            <a:schemeClr val="tx1"/>
          </a:solidFill>
          <a:prstDash val="sysDash"/>
          <a:round/>
          <a:headEnd type="none" w="med" len="med"/>
          <a:tailEnd type="none" w="med" len="med"/>
        </a:ln>
        <a:effectLst/>
      </xdr:spPr>
    </xdr:cxnSp>
    <xdr:clientData/>
  </xdr:twoCellAnchor>
  <xdr:twoCellAnchor editAs="oneCell">
    <xdr:from>
      <xdr:col>0</xdr:col>
      <xdr:colOff>140368</xdr:colOff>
      <xdr:row>1</xdr:row>
      <xdr:rowOff>130342</xdr:rowOff>
    </xdr:from>
    <xdr:to>
      <xdr:col>12</xdr:col>
      <xdr:colOff>62675</xdr:colOff>
      <xdr:row>44</xdr:row>
      <xdr:rowOff>63273</xdr:rowOff>
    </xdr:to>
    <xdr:pic>
      <xdr:nvPicPr>
        <xdr:cNvPr id="4" name="Bilde 3">
          <a:extLst>
            <a:ext uri="{FF2B5EF4-FFF2-40B4-BE49-F238E27FC236}">
              <a16:creationId xmlns:a16="http://schemas.microsoft.com/office/drawing/2014/main" id="{8AF6F23C-6136-9F31-621C-E6C3AD6A38B6}"/>
            </a:ext>
          </a:extLst>
        </xdr:cNvPr>
        <xdr:cNvPicPr>
          <a:picLocks noChangeAspect="1"/>
        </xdr:cNvPicPr>
      </xdr:nvPicPr>
      <xdr:blipFill>
        <a:blip xmlns:r="http://schemas.openxmlformats.org/officeDocument/2006/relationships" r:embed="rId3"/>
        <a:stretch>
          <a:fillRect/>
        </a:stretch>
      </xdr:blipFill>
      <xdr:spPr>
        <a:xfrm>
          <a:off x="140368" y="290763"/>
          <a:ext cx="7933333" cy="716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70485</xdr:colOff>
      <xdr:row>2</xdr:row>
      <xdr:rowOff>57150</xdr:rowOff>
    </xdr:from>
    <xdr:to>
      <xdr:col>15</xdr:col>
      <xdr:colOff>617729</xdr:colOff>
      <xdr:row>40</xdr:row>
      <xdr:rowOff>118110</xdr:rowOff>
    </xdr:to>
    <xdr:pic>
      <xdr:nvPicPr>
        <xdr:cNvPr id="2" name="Bilde 1">
          <a:extLst>
            <a:ext uri="{FF2B5EF4-FFF2-40B4-BE49-F238E27FC236}">
              <a16:creationId xmlns:a16="http://schemas.microsoft.com/office/drawing/2014/main" id="{AEF8BF4F-0381-479A-871A-D09B55A595D6}"/>
            </a:ext>
          </a:extLst>
        </xdr:cNvPr>
        <xdr:cNvPicPr>
          <a:picLocks noChangeAspect="1"/>
        </xdr:cNvPicPr>
      </xdr:nvPicPr>
      <xdr:blipFill>
        <a:blip xmlns:r="http://schemas.openxmlformats.org/officeDocument/2006/relationships" r:embed="rId1"/>
        <a:stretch>
          <a:fillRect/>
        </a:stretch>
      </xdr:blipFill>
      <xdr:spPr>
        <a:xfrm>
          <a:off x="7804785" y="476250"/>
          <a:ext cx="3414269" cy="6214110"/>
        </a:xfrm>
        <a:prstGeom prst="rect">
          <a:avLst/>
        </a:prstGeom>
      </xdr:spPr>
    </xdr:pic>
    <xdr:clientData/>
  </xdr:twoCellAnchor>
  <xdr:twoCellAnchor editAs="oneCell">
    <xdr:from>
      <xdr:col>1</xdr:col>
      <xdr:colOff>47625</xdr:colOff>
      <xdr:row>1</xdr:row>
      <xdr:rowOff>73939</xdr:rowOff>
    </xdr:from>
    <xdr:to>
      <xdr:col>10</xdr:col>
      <xdr:colOff>504825</xdr:colOff>
      <xdr:row>41</xdr:row>
      <xdr:rowOff>28575</xdr:rowOff>
    </xdr:to>
    <xdr:pic>
      <xdr:nvPicPr>
        <xdr:cNvPr id="3" name="Bilde 2">
          <a:extLst>
            <a:ext uri="{FF2B5EF4-FFF2-40B4-BE49-F238E27FC236}">
              <a16:creationId xmlns:a16="http://schemas.microsoft.com/office/drawing/2014/main" id="{0147CBCA-BFF8-4330-9D85-0A245C463229}"/>
            </a:ext>
          </a:extLst>
        </xdr:cNvPr>
        <xdr:cNvPicPr>
          <a:picLocks noChangeAspect="1"/>
        </xdr:cNvPicPr>
      </xdr:nvPicPr>
      <xdr:blipFill>
        <a:blip xmlns:r="http://schemas.openxmlformats.org/officeDocument/2006/relationships" r:embed="rId2"/>
        <a:stretch>
          <a:fillRect/>
        </a:stretch>
      </xdr:blipFill>
      <xdr:spPr>
        <a:xfrm>
          <a:off x="133350" y="397789"/>
          <a:ext cx="7315200" cy="636496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7247-17DA-4B52-9969-9FC5D806D4C3}">
  <sheetPr codeName="Ark1"/>
  <dimension ref="A1:Y47"/>
  <sheetViews>
    <sheetView showGridLines="0" topLeftCell="A4" zoomScale="156" zoomScaleNormal="156" workbookViewId="0">
      <selection activeCell="K58" sqref="K58"/>
    </sheetView>
  </sheetViews>
  <sheetFormatPr baseColWidth="10" defaultColWidth="11.42578125" defaultRowHeight="12.75"/>
  <cols>
    <col min="8" max="8" width="11" customWidth="1"/>
    <col min="9" max="9" width="6.7109375" customWidth="1"/>
    <col min="10" max="10" width="2.85546875" customWidth="1"/>
  </cols>
  <sheetData>
    <row r="1" spans="1:18" ht="20.25" customHeight="1">
      <c r="A1" s="422" t="s">
        <v>921</v>
      </c>
    </row>
    <row r="2" spans="1:18">
      <c r="A2" s="3"/>
      <c r="B2" s="3"/>
    </row>
    <row r="3" spans="1:18">
      <c r="A3" s="3"/>
    </row>
    <row r="4" spans="1:18">
      <c r="I4" s="3"/>
      <c r="R4" s="3"/>
    </row>
    <row r="5" spans="1:18">
      <c r="I5" s="3"/>
      <c r="R5" s="3"/>
    </row>
    <row r="6" spans="1:18" ht="18.75">
      <c r="A6" s="2045" t="s">
        <v>1199</v>
      </c>
      <c r="G6" s="2038" t="s">
        <v>1197</v>
      </c>
      <c r="I6" s="3"/>
      <c r="R6" s="3"/>
    </row>
    <row r="7" spans="1:18">
      <c r="R7" s="3"/>
    </row>
    <row r="8" spans="1:18">
      <c r="A8" s="3"/>
      <c r="R8" s="3"/>
    </row>
    <row r="9" spans="1:18">
      <c r="A9" s="3"/>
      <c r="R9" s="3"/>
    </row>
    <row r="11" spans="1:18" ht="11.25" customHeight="1">
      <c r="A11" s="824"/>
    </row>
    <row r="35" spans="1:25" ht="14.25">
      <c r="A35" s="2044" t="s">
        <v>1200</v>
      </c>
    </row>
    <row r="41" spans="1:25">
      <c r="L41" s="411"/>
    </row>
    <row r="45" spans="1:25" ht="14.25">
      <c r="A45" s="2044" t="s">
        <v>1201</v>
      </c>
      <c r="B45" s="4"/>
      <c r="C45" s="4"/>
      <c r="D45" s="4"/>
      <c r="E45" s="4"/>
      <c r="F45" s="4"/>
      <c r="G45" s="4"/>
      <c r="H45" s="4"/>
      <c r="I45" s="4"/>
      <c r="J45" s="4"/>
      <c r="K45" s="4"/>
      <c r="M45" s="2044" t="s">
        <v>1202</v>
      </c>
    </row>
    <row r="46" spans="1:25">
      <c r="A46" s="3"/>
      <c r="R46" s="3"/>
    </row>
    <row r="47" spans="1:25">
      <c r="Y47" s="3"/>
    </row>
  </sheetData>
  <sheetProtection algorithmName="SHA-512" hashValue="hAvUXFLLXDP89deW6451IHTDR6MgRZGY0hj2spMfIX9M8xvR7I8OlJek9M2rJqKxCXLcQDD+HbK6/pD+PA6EJA==" saltValue="i2rLSlwCfOhd94ZI8Ochow==" spinCount="100000" sheet="1" objects="1" scenarios="1"/>
  <pageMargins left="0.31" right="0.1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tabColor theme="6"/>
  </sheetPr>
  <dimension ref="A1:AH185"/>
  <sheetViews>
    <sheetView showGridLines="0" tabSelected="1" topLeftCell="A4" zoomScale="176" zoomScaleNormal="176" zoomScalePageLayoutView="84" workbookViewId="0">
      <selection activeCell="M11" sqref="M11:M12"/>
    </sheetView>
  </sheetViews>
  <sheetFormatPr baseColWidth="10" defaultColWidth="11.42578125" defaultRowHeight="14.25"/>
  <cols>
    <col min="1" max="1" width="2.28515625" style="826" customWidth="1"/>
    <col min="2" max="2" width="6.5703125" style="826" customWidth="1"/>
    <col min="3" max="3" width="4.5703125" style="826" customWidth="1"/>
    <col min="4" max="4" width="5.28515625" style="73" customWidth="1"/>
    <col min="5" max="5" width="6.5703125" style="73" customWidth="1"/>
    <col min="6" max="6" width="7" style="826" customWidth="1"/>
    <col min="7" max="8" width="6.85546875" style="826" customWidth="1"/>
    <col min="9" max="9" width="7.28515625" style="826" customWidth="1"/>
    <col min="10" max="11" width="7.140625" style="826" customWidth="1"/>
    <col min="12" max="13" width="8" style="826" customWidth="1"/>
    <col min="14" max="14" width="11.42578125" style="826" customWidth="1"/>
    <col min="15" max="15" width="1" style="826" customWidth="1"/>
    <col min="16" max="16" width="5.140625" style="827" customWidth="1"/>
    <col min="17" max="17" width="5.28515625" style="827" customWidth="1"/>
    <col min="18" max="18" width="7.42578125" style="827" customWidth="1"/>
    <col min="19" max="19" width="8.5703125" style="827" customWidth="1"/>
    <col min="20" max="20" width="8.42578125" style="827" customWidth="1"/>
    <col min="21" max="21" width="7.140625" style="826" customWidth="1"/>
    <col min="22" max="22" width="6.42578125" style="826" customWidth="1"/>
    <col min="23" max="23" width="3" style="826" customWidth="1"/>
    <col min="24" max="24" width="2.42578125" style="826" customWidth="1"/>
    <col min="25" max="25" width="6.7109375" style="826" customWidth="1"/>
    <col min="26" max="26" width="7.42578125" style="826" customWidth="1"/>
    <col min="27" max="27" width="9.5703125" style="826" customWidth="1"/>
    <col min="28" max="28" width="8.85546875" style="826" customWidth="1"/>
    <col min="29" max="29" width="7.42578125" style="826" customWidth="1"/>
    <col min="30" max="30" width="5.5703125" style="826" customWidth="1"/>
    <col min="31" max="31" width="7.42578125" style="826" customWidth="1"/>
    <col min="32" max="32" width="10.42578125" style="826" customWidth="1"/>
    <col min="33" max="33" width="9.140625" style="826" customWidth="1"/>
    <col min="34" max="16384" width="11.42578125" style="826"/>
  </cols>
  <sheetData>
    <row r="1" spans="1:30" ht="15" customHeight="1">
      <c r="A1" s="2913" t="s">
        <v>886</v>
      </c>
      <c r="B1" s="2914"/>
      <c r="C1" s="2914"/>
      <c r="D1" s="2914"/>
      <c r="E1" s="2914"/>
      <c r="F1" s="2915"/>
      <c r="G1" s="828" t="s">
        <v>368</v>
      </c>
      <c r="H1" s="452"/>
      <c r="I1" s="452"/>
      <c r="J1" s="453"/>
      <c r="K1" s="829" t="s">
        <v>442</v>
      </c>
      <c r="L1" s="456"/>
      <c r="M1" s="830" t="s">
        <v>366</v>
      </c>
      <c r="N1" s="457"/>
      <c r="O1" s="831"/>
      <c r="P1" s="2859" t="s">
        <v>1103</v>
      </c>
      <c r="Q1" s="2860"/>
      <c r="R1" s="2860"/>
      <c r="S1" s="2860"/>
      <c r="T1" s="2860"/>
      <c r="U1" s="2860"/>
      <c r="V1" s="2860"/>
      <c r="W1" s="2860"/>
      <c r="X1" s="2860"/>
      <c r="Y1" s="2860"/>
      <c r="Z1" s="2860"/>
      <c r="AA1" s="832"/>
      <c r="AB1" s="832"/>
      <c r="AC1" s="833"/>
    </row>
    <row r="2" spans="1:30" ht="14.25" customHeight="1">
      <c r="A2" s="2916"/>
      <c r="B2" s="2917"/>
      <c r="C2" s="2917"/>
      <c r="D2" s="2917"/>
      <c r="E2" s="2917"/>
      <c r="F2" s="2918"/>
      <c r="G2" s="834" t="s">
        <v>365</v>
      </c>
      <c r="H2" s="454"/>
      <c r="I2" s="454"/>
      <c r="J2" s="455"/>
      <c r="K2" s="835" t="s">
        <v>443</v>
      </c>
      <c r="L2" s="2032">
        <v>12</v>
      </c>
      <c r="M2" s="836" t="s">
        <v>441</v>
      </c>
      <c r="N2" s="458"/>
      <c r="O2" s="837"/>
      <c r="P2" s="3288" t="s">
        <v>1108</v>
      </c>
      <c r="Q2" s="3289"/>
      <c r="R2" s="838" t="s">
        <v>1121</v>
      </c>
      <c r="S2" s="839" t="s">
        <v>1122</v>
      </c>
      <c r="T2" s="840"/>
      <c r="U2" s="840"/>
      <c r="V2" s="840"/>
      <c r="W2" s="840"/>
      <c r="X2" s="840"/>
      <c r="Y2" s="840"/>
      <c r="Z2" s="840"/>
      <c r="AA2" s="840"/>
      <c r="AB2" s="840"/>
      <c r="AC2" s="841"/>
    </row>
    <row r="3" spans="1:30" ht="11.25" customHeight="1">
      <c r="A3" s="2939" t="s">
        <v>1102</v>
      </c>
      <c r="B3" s="842"/>
      <c r="C3" s="843"/>
      <c r="D3" s="3321" t="s">
        <v>743</v>
      </c>
      <c r="E3" s="3321"/>
      <c r="F3" s="3321"/>
      <c r="G3" s="3321"/>
      <c r="H3" s="3321"/>
      <c r="I3" s="3321"/>
      <c r="J3" s="3321"/>
      <c r="K3" s="3321"/>
      <c r="L3" s="3321"/>
      <c r="M3" s="3155" t="s">
        <v>699</v>
      </c>
      <c r="N3" s="844" t="s">
        <v>922</v>
      </c>
      <c r="O3" s="845"/>
      <c r="P3" s="3290" t="s">
        <v>1163</v>
      </c>
      <c r="Q3" s="3291"/>
      <c r="R3" s="846"/>
      <c r="S3" s="847" t="s">
        <v>1116</v>
      </c>
      <c r="T3" s="848"/>
      <c r="U3" s="848"/>
      <c r="V3" s="848"/>
      <c r="W3" s="848"/>
      <c r="X3" s="848"/>
      <c r="Y3" s="848"/>
      <c r="Z3" s="848"/>
      <c r="AA3" s="848"/>
      <c r="AB3" s="848"/>
      <c r="AC3" s="841"/>
      <c r="AD3" s="849"/>
    </row>
    <row r="4" spans="1:30" ht="11.25" customHeight="1">
      <c r="A4" s="2940"/>
      <c r="B4" s="2963"/>
      <c r="C4" s="2964"/>
      <c r="D4" s="850" t="s">
        <v>1065</v>
      </c>
      <c r="E4" s="851"/>
      <c r="F4" s="851"/>
      <c r="G4" s="851"/>
      <c r="H4" s="852" t="s">
        <v>931</v>
      </c>
      <c r="I4" s="853" t="s">
        <v>745</v>
      </c>
      <c r="J4" s="854" t="s">
        <v>746</v>
      </c>
      <c r="K4" s="855" t="s">
        <v>747</v>
      </c>
      <c r="L4" s="2018" t="s">
        <v>744</v>
      </c>
      <c r="M4" s="3156"/>
      <c r="N4" s="459">
        <v>7</v>
      </c>
      <c r="O4" s="856"/>
      <c r="P4" s="3301" t="s">
        <v>1107</v>
      </c>
      <c r="Q4" s="3302"/>
      <c r="R4" s="857"/>
      <c r="S4" s="858" t="s">
        <v>1117</v>
      </c>
      <c r="T4" s="859"/>
      <c r="U4" s="859"/>
      <c r="V4" s="859"/>
      <c r="W4" s="859"/>
      <c r="X4" s="859"/>
      <c r="Y4" s="859"/>
      <c r="Z4" s="859"/>
      <c r="AA4" s="860"/>
      <c r="AB4" s="859"/>
      <c r="AC4" s="861"/>
      <c r="AD4" s="849"/>
    </row>
    <row r="5" spans="1:30" ht="10.5" customHeight="1">
      <c r="A5" s="2940"/>
      <c r="B5" s="2963"/>
      <c r="C5" s="2964"/>
      <c r="D5" s="862" t="s">
        <v>881</v>
      </c>
      <c r="E5" s="863" t="s">
        <v>537</v>
      </c>
      <c r="F5" s="864" t="s">
        <v>538</v>
      </c>
      <c r="G5" s="865" t="s">
        <v>396</v>
      </c>
      <c r="H5" s="866" t="s">
        <v>871</v>
      </c>
      <c r="I5" s="3119" t="s">
        <v>1178</v>
      </c>
      <c r="J5" s="3119"/>
      <c r="K5" s="3119"/>
      <c r="L5" s="3120"/>
      <c r="M5" s="3156"/>
      <c r="N5" s="867" t="s">
        <v>750</v>
      </c>
      <c r="O5" s="868"/>
      <c r="P5" s="3177" t="s">
        <v>1106</v>
      </c>
      <c r="Q5" s="3178"/>
      <c r="R5" s="869" t="s">
        <v>1123</v>
      </c>
      <c r="S5" s="870" t="s">
        <v>1198</v>
      </c>
      <c r="T5" s="871"/>
      <c r="U5" s="871"/>
      <c r="V5" s="871"/>
      <c r="W5" s="872"/>
      <c r="X5" s="873"/>
      <c r="Y5" s="872"/>
      <c r="Z5" s="874"/>
      <c r="AA5" s="874"/>
      <c r="AB5" s="874"/>
      <c r="AC5" s="875"/>
    </row>
    <row r="6" spans="1:30" ht="10.5" customHeight="1">
      <c r="A6" s="2940"/>
      <c r="B6" s="876"/>
      <c r="C6" s="877"/>
      <c r="D6" s="784" t="s">
        <v>1168</v>
      </c>
      <c r="E6" s="785" t="s">
        <v>1172</v>
      </c>
      <c r="F6" s="786" t="s">
        <v>1170</v>
      </c>
      <c r="G6" s="787" t="s">
        <v>1171</v>
      </c>
      <c r="H6" s="878" t="s">
        <v>872</v>
      </c>
      <c r="I6" s="3121"/>
      <c r="J6" s="3121"/>
      <c r="K6" s="3121"/>
      <c r="L6" s="3122"/>
      <c r="M6" s="3156"/>
      <c r="N6" s="3303" t="str">
        <f>IF(AND(M28="",M11=""),"Fill in for                              DJ and/or SRFz",IF(M38&lt;&gt;"","CHECK INPUT",IF(M28&lt;&gt;"","","")))</f>
        <v>Fill in for                              DJ and/or SRFz</v>
      </c>
      <c r="O6" s="879"/>
      <c r="P6" s="2872" t="str">
        <f>IF(L2&lt;&gt;"","","Tunnel span?")</f>
        <v/>
      </c>
      <c r="Q6" s="2873"/>
      <c r="R6" s="880"/>
      <c r="S6" s="870" t="s">
        <v>1124</v>
      </c>
      <c r="T6" s="881"/>
      <c r="U6" s="881"/>
      <c r="V6" s="881"/>
      <c r="W6" s="881"/>
      <c r="X6" s="881"/>
      <c r="Y6" s="881"/>
      <c r="Z6" s="881"/>
      <c r="AA6" s="881"/>
      <c r="AB6" s="881"/>
      <c r="AC6" s="882"/>
    </row>
    <row r="7" spans="1:30" ht="11.25" customHeight="1">
      <c r="A7" s="2940"/>
      <c r="B7" s="876"/>
      <c r="C7" s="877"/>
      <c r="D7" s="784" t="s">
        <v>1169</v>
      </c>
      <c r="E7" s="785" t="s">
        <v>1177</v>
      </c>
      <c r="F7" s="786" t="s">
        <v>1173</v>
      </c>
      <c r="G7" s="787" t="s">
        <v>1174</v>
      </c>
      <c r="H7" s="883" t="s">
        <v>1092</v>
      </c>
      <c r="I7" s="3123" t="s">
        <v>377</v>
      </c>
      <c r="J7" s="3123"/>
      <c r="K7" s="3123"/>
      <c r="L7" s="3124"/>
      <c r="M7" s="3156"/>
      <c r="N7" s="3303"/>
      <c r="O7" s="879"/>
      <c r="P7" s="2874" t="str">
        <f>IF(N2&lt;&gt;"","","Wall height?")</f>
        <v>Wall height?</v>
      </c>
      <c r="Q7" s="2875"/>
      <c r="R7" s="884"/>
      <c r="S7" s="885" t="s">
        <v>1133</v>
      </c>
      <c r="T7" s="886"/>
      <c r="U7" s="886"/>
      <c r="V7" s="886"/>
      <c r="W7" s="886"/>
      <c r="X7" s="886"/>
      <c r="Y7" s="886"/>
      <c r="Z7" s="886"/>
      <c r="AA7" s="886"/>
      <c r="AB7" s="886"/>
      <c r="AC7" s="887"/>
    </row>
    <row r="8" spans="1:30" ht="11.25" customHeight="1">
      <c r="A8" s="2940"/>
      <c r="B8" s="876"/>
      <c r="C8" s="877"/>
      <c r="D8" s="784" t="s">
        <v>1169</v>
      </c>
      <c r="E8" s="785" t="s">
        <v>1175</v>
      </c>
      <c r="F8" s="785" t="s">
        <v>1176</v>
      </c>
      <c r="G8" s="787"/>
      <c r="H8" s="888"/>
      <c r="I8" s="860"/>
      <c r="J8" s="889"/>
      <c r="K8" s="890" t="s">
        <v>866</v>
      </c>
      <c r="L8" s="682" t="s">
        <v>1179</v>
      </c>
      <c r="M8" s="3157"/>
      <c r="N8" s="891" t="s">
        <v>1118</v>
      </c>
      <c r="O8" s="892"/>
      <c r="P8" s="893"/>
      <c r="Q8" s="894"/>
      <c r="R8" s="895"/>
      <c r="S8" s="895"/>
      <c r="T8" s="895"/>
      <c r="U8" s="896"/>
      <c r="Z8" s="897"/>
      <c r="AA8" s="897"/>
      <c r="AB8" s="898"/>
      <c r="AC8" s="899"/>
    </row>
    <row r="9" spans="1:30" ht="12" customHeight="1">
      <c r="A9" s="2940"/>
      <c r="B9" s="900"/>
      <c r="C9" s="901"/>
      <c r="D9" s="788"/>
      <c r="E9" s="789" t="s">
        <v>1180</v>
      </c>
      <c r="F9" s="789"/>
      <c r="G9" s="789"/>
      <c r="H9" s="902"/>
      <c r="I9" s="3324" t="s">
        <v>1115</v>
      </c>
      <c r="J9" s="3324"/>
      <c r="K9" s="3324"/>
      <c r="L9" s="3325"/>
      <c r="M9" s="783"/>
      <c r="N9" s="903" t="str">
        <f>IF(M11="","",IF(M9="","Jointed rockmass",""))</f>
        <v/>
      </c>
      <c r="O9" s="904"/>
      <c r="P9" s="905" t="str">
        <f>IF(AND(M9="",M11&lt;&gt;""),"← input ?",IF(AND(M11="",M9&lt;&gt;""),"← remove",IF(OR(M9="",M9="a",M9="b",M9="c",M9="d",M9="e"),"","check input")))</f>
        <v/>
      </c>
      <c r="Q9" s="906"/>
      <c r="S9" s="907" t="s">
        <v>1031</v>
      </c>
      <c r="U9" s="908"/>
      <c r="V9" s="909"/>
      <c r="W9" s="909"/>
      <c r="X9" s="909"/>
      <c r="AA9" s="910"/>
      <c r="AB9" s="911"/>
      <c r="AC9" s="912"/>
    </row>
    <row r="10" spans="1:30" ht="11.25" customHeight="1">
      <c r="A10" s="2940"/>
      <c r="B10" s="913"/>
      <c r="C10" s="912"/>
      <c r="D10" s="914" t="s">
        <v>877</v>
      </c>
      <c r="E10" s="826"/>
      <c r="F10" s="915"/>
      <c r="G10" s="916"/>
      <c r="H10" s="917"/>
      <c r="I10" s="918"/>
      <c r="J10" s="919" t="s">
        <v>1136</v>
      </c>
      <c r="K10" s="2021" t="s">
        <v>1135</v>
      </c>
      <c r="L10" s="920" t="s">
        <v>338</v>
      </c>
      <c r="M10" s="775"/>
      <c r="N10" s="2051" t="str">
        <f>IF(M11="","",IF(M10="",F118,F118))</f>
        <v/>
      </c>
      <c r="O10" s="921"/>
      <c r="P10" s="922" t="str">
        <f>IF(M10="","",IF(AND(M11="",M10&lt;&gt;""),"← remove",IF(OR(M10="b",M10="c",M10="d",M10="e",M10="f",M10="g",M10="h",M10="i"),"","check input")))</f>
        <v/>
      </c>
      <c r="Q10" s="923"/>
      <c r="R10" s="924"/>
      <c r="S10" s="2793" t="s">
        <v>105</v>
      </c>
      <c r="T10" s="2794"/>
      <c r="U10" s="925" t="s">
        <v>584</v>
      </c>
      <c r="V10" s="2793" t="s">
        <v>585</v>
      </c>
      <c r="W10" s="2865"/>
      <c r="X10" s="2865"/>
      <c r="Y10" s="2865"/>
      <c r="Z10" s="2794"/>
      <c r="AA10" s="3336" t="s">
        <v>687</v>
      </c>
      <c r="AB10" s="2865"/>
      <c r="AC10" s="3337"/>
    </row>
    <row r="11" spans="1:30" ht="9.75" customHeight="1">
      <c r="A11" s="2940"/>
      <c r="B11" s="913"/>
      <c r="D11" s="926" t="s">
        <v>677</v>
      </c>
      <c r="E11" s="927"/>
      <c r="F11" s="928" t="s">
        <v>320</v>
      </c>
      <c r="G11" s="929" t="s">
        <v>454</v>
      </c>
      <c r="H11" s="930" t="s">
        <v>840</v>
      </c>
      <c r="I11" s="930" t="s">
        <v>692</v>
      </c>
      <c r="J11" s="929" t="s">
        <v>693</v>
      </c>
      <c r="K11" s="2025" t="s">
        <v>694</v>
      </c>
      <c r="L11" s="3131" t="s">
        <v>563</v>
      </c>
      <c r="M11" s="3313"/>
      <c r="N11" s="2868" t="str">
        <f>IF(M11="","",IF(M11="a","Crushed rock",IF(M11="b","Broken rock",IF(M11="c","Very highly jointed",IF(M11="d","Highly jointed",IF(M11="e","Moderately jointed",IF(M11="f","Slightly jointed","")))))))</f>
        <v/>
      </c>
      <c r="O11" s="931"/>
      <c r="P11" s="3299" t="str">
        <f>IF(AND(M11="",M28=""),"← input",IF(OR(M11="a",M11="b",M11="c",M11="d",M11="e",M11="f"),"",IF(AND(M28&lt;&gt;"",M11=""),"",IF(OR(M28="",M11&lt;&gt;""),"← check input"))))</f>
        <v>← input</v>
      </c>
      <c r="Q11" s="3300"/>
      <c r="R11" s="924"/>
      <c r="S11" s="2785" t="s">
        <v>684</v>
      </c>
      <c r="T11" s="2791" t="s">
        <v>728</v>
      </c>
      <c r="U11" s="3344"/>
      <c r="V11" s="932"/>
      <c r="W11" s="932"/>
      <c r="X11" s="933" t="s">
        <v>717</v>
      </c>
      <c r="Y11" s="934" t="str">
        <f>IF(U15="","",IF(110-2.5*U15&gt;100,100,IF(110-2.5*U15&lt;0,0,110-2.5*U15)))</f>
        <v/>
      </c>
      <c r="Z11" s="935"/>
      <c r="AA11" s="3338" t="s">
        <v>721</v>
      </c>
      <c r="AB11" s="3339"/>
      <c r="AC11" s="3340"/>
    </row>
    <row r="12" spans="1:30" ht="9.75" customHeight="1">
      <c r="A12" s="2940"/>
      <c r="B12" s="913"/>
      <c r="C12" s="825"/>
      <c r="D12" s="936" t="s">
        <v>727</v>
      </c>
      <c r="E12" s="937"/>
      <c r="F12" s="938" t="s">
        <v>14</v>
      </c>
      <c r="G12" s="939" t="s">
        <v>15</v>
      </c>
      <c r="H12" s="939" t="s">
        <v>18</v>
      </c>
      <c r="I12" s="939" t="s">
        <v>20</v>
      </c>
      <c r="J12" s="940" t="s">
        <v>22</v>
      </c>
      <c r="K12" s="2020" t="s">
        <v>24</v>
      </c>
      <c r="L12" s="3132"/>
      <c r="M12" s="3314"/>
      <c r="N12" s="2869"/>
      <c r="O12" s="931"/>
      <c r="P12" s="3299"/>
      <c r="Q12" s="3300"/>
      <c r="R12" s="924"/>
      <c r="S12" s="2786"/>
      <c r="T12" s="2792"/>
      <c r="U12" s="3345"/>
      <c r="V12" s="942"/>
      <c r="W12" s="942"/>
      <c r="X12" s="941" t="s">
        <v>718</v>
      </c>
      <c r="Y12" s="943">
        <f>IF(U13="","",IF(110-2.5*((U13/1000)/U17)^-0.333&gt;100,100,IF(110-2.5*((U13/1000)/U17)^-0.333&lt;0,0,110-2.5*((U13/1000)/U17)^-0.333)))</f>
        <v>59.737970408366536</v>
      </c>
      <c r="Z12" s="944"/>
      <c r="AA12" s="3341" t="s">
        <v>722</v>
      </c>
      <c r="AB12" s="3342"/>
      <c r="AC12" s="3343"/>
    </row>
    <row r="13" spans="1:30" ht="9.9499999999999993" customHeight="1">
      <c r="A13" s="2940"/>
      <c r="B13" s="913"/>
      <c r="D13" s="3149" t="s">
        <v>682</v>
      </c>
      <c r="E13" s="3150"/>
      <c r="F13" s="945" t="s">
        <v>895</v>
      </c>
      <c r="G13" s="945" t="s">
        <v>637</v>
      </c>
      <c r="H13" s="945" t="s">
        <v>636</v>
      </c>
      <c r="I13" s="946" t="s">
        <v>635</v>
      </c>
      <c r="J13" s="947" t="s">
        <v>634</v>
      </c>
      <c r="K13" s="948" t="s">
        <v>633</v>
      </c>
      <c r="L13" s="949" t="s">
        <v>581</v>
      </c>
      <c r="M13" s="772"/>
      <c r="N13" s="950" t="str">
        <f>IF(M11="","",IF(M13&lt;&gt;"",M13,E87))</f>
        <v/>
      </c>
      <c r="O13" s="951"/>
      <c r="P13" s="922" t="str">
        <f>IF(OR(M13="a",M13="b",M13="c",M13="d",M13="e",M13="f",M13="g",M13="h",M13="i"),"← check input",IF(AND(M11="",M13&lt;&gt;""),"← remove",""))</f>
        <v/>
      </c>
      <c r="Q13" s="894"/>
      <c r="R13" s="924"/>
      <c r="S13" s="2895" t="s">
        <v>685</v>
      </c>
      <c r="T13" s="952" t="s">
        <v>729</v>
      </c>
      <c r="U13" s="822">
        <v>5</v>
      </c>
      <c r="V13" s="932"/>
      <c r="W13" s="932"/>
      <c r="X13" s="933" t="s">
        <v>719</v>
      </c>
      <c r="Y13" s="953" t="str">
        <f>IF(U11="","",U17*(44-U11/2.5)^-3)</f>
        <v/>
      </c>
      <c r="Z13" s="954" t="str">
        <f>IF(Y13="","",IF(Y13&gt;0.1,"",1000*Y13))</f>
        <v/>
      </c>
      <c r="AA13" s="3341" t="s">
        <v>723</v>
      </c>
      <c r="AB13" s="3342"/>
      <c r="AC13" s="3343"/>
    </row>
    <row r="14" spans="1:30" ht="9.9499999999999993" customHeight="1">
      <c r="A14" s="2940"/>
      <c r="B14" s="913"/>
      <c r="D14" s="3149" t="s">
        <v>683</v>
      </c>
      <c r="E14" s="3150"/>
      <c r="F14" s="955" t="s">
        <v>894</v>
      </c>
      <c r="G14" s="955" t="s">
        <v>896</v>
      </c>
      <c r="H14" s="955" t="s">
        <v>897</v>
      </c>
      <c r="I14" s="956" t="s">
        <v>898</v>
      </c>
      <c r="J14" s="947" t="s">
        <v>899</v>
      </c>
      <c r="K14" s="955" t="s">
        <v>900</v>
      </c>
      <c r="L14" s="957" t="s">
        <v>573</v>
      </c>
      <c r="M14" s="773"/>
      <c r="N14" s="958" t="str">
        <f>IF(M11="","",IF(M14&lt;&gt;"",M14/1000,IF(M15&lt;&gt;"",F130,F130)))</f>
        <v/>
      </c>
      <c r="O14" s="959"/>
      <c r="P14" s="922" t="str">
        <f>IF(OR(M14="a",M14="b",M14="c",M14="d",M14="e",M14="f",M14="g",M14="h",M14="i"),"← check input",IF(AND(M11="",M14&lt;&gt;""),"← remove",""))</f>
        <v/>
      </c>
      <c r="Q14" s="894"/>
      <c r="R14" s="924"/>
      <c r="S14" s="2896"/>
      <c r="T14" s="960"/>
      <c r="U14" s="961">
        <f>IF(U13="","",U13/1000)</f>
        <v>5.0000000000000001E-3</v>
      </c>
      <c r="V14" s="942"/>
      <c r="W14" s="942"/>
      <c r="X14" s="962" t="s">
        <v>875</v>
      </c>
      <c r="Y14" s="963" t="str">
        <f>IF(U15="","",U17*U15^-3)</f>
        <v/>
      </c>
      <c r="Z14" s="964" t="str">
        <f>IF(Y14="","",IF(1000*Y14&gt;100,"",1000*Y14))</f>
        <v/>
      </c>
      <c r="AA14" s="3341" t="s">
        <v>724</v>
      </c>
      <c r="AB14" s="3342"/>
      <c r="AC14" s="3343"/>
    </row>
    <row r="15" spans="1:30" ht="9.9499999999999993" customHeight="1">
      <c r="A15" s="2940"/>
      <c r="B15" s="913"/>
      <c r="D15" s="3074" t="s">
        <v>751</v>
      </c>
      <c r="E15" s="3075"/>
      <c r="F15" s="965" t="s">
        <v>901</v>
      </c>
      <c r="G15" s="965" t="s">
        <v>902</v>
      </c>
      <c r="H15" s="965" t="s">
        <v>903</v>
      </c>
      <c r="I15" s="966" t="s">
        <v>904</v>
      </c>
      <c r="J15" s="967" t="s">
        <v>905</v>
      </c>
      <c r="K15" s="965" t="s">
        <v>906</v>
      </c>
      <c r="L15" s="968" t="s">
        <v>572</v>
      </c>
      <c r="M15" s="774"/>
      <c r="N15" s="969" t="str">
        <f>IF(M11="","",IF(M15&lt;&gt;"",M15,IF(M11="a",'Parameter tables'!C49,IF(M11="b",'Parameter tables'!C50,IF(M11="c",'Parameter tables'!C51,IF(M11="d",'Parameter tables'!C52,IF(M11="e",'Parameter tables'!C53,IF(M11="f",'Parameter tables'!C54,"?"))))))))</f>
        <v/>
      </c>
      <c r="O15" s="970"/>
      <c r="P15" s="922" t="str">
        <f>IF(OR(M15="a",M15="b",M15="c",M15="d",M15="e",M15="f",M15="g",M15="h",M15="i"),"← check input",IF(AND(M11="",M15&lt;&gt;""),"← remove",""))</f>
        <v/>
      </c>
      <c r="Q15" s="894"/>
      <c r="R15" s="924"/>
      <c r="S15" s="2785" t="s">
        <v>516</v>
      </c>
      <c r="T15" s="2893" t="s">
        <v>730</v>
      </c>
      <c r="U15" s="2882"/>
      <c r="V15" s="932"/>
      <c r="W15" s="932"/>
      <c r="X15" s="971" t="s">
        <v>876</v>
      </c>
      <c r="Y15" s="972">
        <f>IF(U13="","",10*(U13/U17)^-0.333)</f>
        <v>20.151158214448248</v>
      </c>
      <c r="Z15" s="973"/>
      <c r="AA15" s="3341" t="s">
        <v>725</v>
      </c>
      <c r="AB15" s="3342"/>
      <c r="AC15" s="3343"/>
    </row>
    <row r="16" spans="1:30" ht="11.25" customHeight="1">
      <c r="A16" s="2940"/>
      <c r="B16" s="913"/>
      <c r="D16" s="914" t="s">
        <v>882</v>
      </c>
      <c r="E16" s="974"/>
      <c r="F16" s="975"/>
      <c r="H16" s="976"/>
      <c r="I16" s="798" t="s">
        <v>588</v>
      </c>
      <c r="J16" s="799" t="s">
        <v>1105</v>
      </c>
      <c r="L16" s="977" t="s">
        <v>810</v>
      </c>
      <c r="M16" s="775"/>
      <c r="N16" s="978" t="str">
        <f>IF(M11="","",G128)</f>
        <v/>
      </c>
      <c r="O16" s="979"/>
      <c r="P16" s="922" t="str">
        <f>IF(M16="","",IF(AND(M11="",M16&lt;&gt;""),"← remove",IF(OR(M16="a",M16="b",M16="c",M16="d",M16="e"),"","← check input")))</f>
        <v/>
      </c>
      <c r="Q16" s="923"/>
      <c r="R16" s="924"/>
      <c r="S16" s="2786"/>
      <c r="T16" s="2894"/>
      <c r="U16" s="2883"/>
      <c r="V16" s="942"/>
      <c r="W16" s="942"/>
      <c r="X16" s="980" t="s">
        <v>720</v>
      </c>
      <c r="Y16" s="981" t="str">
        <f>IF(U11="","",44-U11/2.5)</f>
        <v/>
      </c>
      <c r="Z16" s="982"/>
      <c r="AA16" s="3341" t="s">
        <v>726</v>
      </c>
      <c r="AB16" s="3342"/>
      <c r="AC16" s="3343"/>
    </row>
    <row r="17" spans="1:34" ht="11.25" customHeight="1">
      <c r="A17" s="2940"/>
      <c r="B17" s="913"/>
      <c r="D17" s="3076" t="s">
        <v>394</v>
      </c>
      <c r="E17" s="3077"/>
      <c r="F17" s="3078"/>
      <c r="G17" s="983" t="s">
        <v>11</v>
      </c>
      <c r="H17" s="984"/>
      <c r="I17" s="985"/>
      <c r="J17" s="986"/>
      <c r="K17" s="986"/>
      <c r="L17" s="987" t="s">
        <v>844</v>
      </c>
      <c r="M17" s="776"/>
      <c r="N17" s="988" t="str">
        <f>IF(M11="","",G90)</f>
        <v/>
      </c>
      <c r="O17" s="989"/>
      <c r="P17" s="922" t="str">
        <f>IF(M17="","",IF(AND(M11="",M17&lt;&gt;""),"← remove",IF(OR(M17="a",M17="b",M17="c",M17="d",M17="e",M17="f",M17="g",M17="h",M17="i"),"","← check input")))</f>
        <v/>
      </c>
      <c r="Q17" s="923"/>
      <c r="R17" s="924"/>
      <c r="S17" s="990" t="s">
        <v>686</v>
      </c>
      <c r="T17" s="991" t="s">
        <v>731</v>
      </c>
      <c r="U17" s="821">
        <v>41</v>
      </c>
      <c r="V17" s="2026" t="str">
        <f>IF(AND(U17&lt;&gt;"",U17&lt;27),"value must be &gt;26, see classification below",IF(U17&lt;&gt;"","",IF(OR(U11&lt;&gt;"",U13&lt;&gt;"",U15&lt;&gt;""),"← value must be given  (use a value of 36 if you do not know the block dimension)","")))</f>
        <v/>
      </c>
      <c r="W17" s="932"/>
      <c r="X17" s="992"/>
      <c r="Y17" s="932"/>
      <c r="Z17" s="993"/>
      <c r="AA17" s="2039"/>
      <c r="AB17" s="2040"/>
      <c r="AC17" s="912"/>
      <c r="AE17" s="994"/>
      <c r="AF17" s="994"/>
      <c r="AG17" s="994"/>
      <c r="AH17" s="994"/>
    </row>
    <row r="18" spans="1:34" ht="11.25" customHeight="1">
      <c r="A18" s="2940"/>
      <c r="B18" s="913"/>
      <c r="C18" s="210"/>
      <c r="D18" s="3079"/>
      <c r="E18" s="3080"/>
      <c r="F18" s="3081"/>
      <c r="G18" s="995" t="s">
        <v>880</v>
      </c>
      <c r="H18" s="996"/>
      <c r="I18" s="997" t="s">
        <v>752</v>
      </c>
      <c r="J18" s="3085" t="s">
        <v>1181</v>
      </c>
      <c r="K18" s="998"/>
      <c r="L18" s="999" t="s">
        <v>557</v>
      </c>
      <c r="M18" s="777"/>
      <c r="N18" s="1000" t="str">
        <f>IF(M11="","",IF(OR(M9="f",M9="g",M9="h"),"",IF(M18="",'Parameter tables'!A85,N126)))</f>
        <v/>
      </c>
      <c r="O18" s="1001"/>
      <c r="P18" s="922" t="str">
        <f>IF(M18="","",IF(AND(M11="",M18&lt;&gt;""),"← remove",IF(OR(M18="a",M18="b",M18="c",M18="d",M18="e"),"","← check input")))</f>
        <v/>
      </c>
      <c r="Q18" s="923"/>
      <c r="R18" s="924"/>
      <c r="S18" s="1002" t="s">
        <v>859</v>
      </c>
      <c r="T18" s="1003"/>
      <c r="U18" s="1004"/>
      <c r="V18" s="1005"/>
      <c r="W18" s="1005"/>
      <c r="X18" s="130"/>
      <c r="Y18" s="1006" t="s">
        <v>873</v>
      </c>
      <c r="Z18" s="795" t="s">
        <v>588</v>
      </c>
      <c r="AA18" s="1007" t="s">
        <v>1086</v>
      </c>
      <c r="AB18" s="1008"/>
      <c r="AC18" s="1009"/>
    </row>
    <row r="19" spans="1:34" ht="11.25" customHeight="1">
      <c r="A19" s="2940"/>
      <c r="B19" s="913"/>
      <c r="C19" s="210"/>
      <c r="D19" s="3082"/>
      <c r="E19" s="3083"/>
      <c r="F19" s="3084"/>
      <c r="G19" s="1010" t="s">
        <v>879</v>
      </c>
      <c r="H19" s="1011"/>
      <c r="I19" s="1012" t="s">
        <v>515</v>
      </c>
      <c r="J19" s="3086"/>
      <c r="K19" s="1013"/>
      <c r="L19" s="1014" t="s">
        <v>558</v>
      </c>
      <c r="M19" s="778"/>
      <c r="N19" s="1015" t="str">
        <f>IF(M11="","",IF(OR(M9="f",M9="g",M9="h"),"",IF(M19="",'Parameter tables'!A85,R126)))</f>
        <v/>
      </c>
      <c r="O19" s="1001"/>
      <c r="P19" s="922" t="str">
        <f>IF(M19="","",IF(AND(M11="",M19&lt;&gt;""),"← remove",IF(OR(M19="a",M19="b",M19="c",M19="d",M19="e"),"","← check input")))</f>
        <v/>
      </c>
      <c r="Q19" s="923"/>
      <c r="R19" s="924"/>
      <c r="S19" s="2878" t="s">
        <v>924</v>
      </c>
      <c r="T19" s="2879"/>
      <c r="U19" s="1016" t="s">
        <v>860</v>
      </c>
      <c r="V19" s="469">
        <v>0.5</v>
      </c>
      <c r="W19" s="1017"/>
      <c r="X19" s="1018"/>
      <c r="Y19" s="1019" t="s">
        <v>864</v>
      </c>
      <c r="Z19" s="1020">
        <f>IF(OR(V19="",V20=""),"",20+7*V20/V19)</f>
        <v>41</v>
      </c>
      <c r="AB19" s="1021"/>
      <c r="AC19" s="1022"/>
    </row>
    <row r="20" spans="1:34" ht="11.25" customHeight="1">
      <c r="A20" s="2940"/>
      <c r="B20" s="913"/>
      <c r="D20" s="2835" t="s">
        <v>930</v>
      </c>
      <c r="E20" s="2836"/>
      <c r="F20" s="2837"/>
      <c r="G20" s="2959" t="s">
        <v>1066</v>
      </c>
      <c r="H20" s="2959"/>
      <c r="I20" s="2960"/>
      <c r="J20" s="1023" t="s">
        <v>393</v>
      </c>
      <c r="K20" s="1024"/>
      <c r="L20" s="987" t="s">
        <v>57</v>
      </c>
      <c r="M20" s="775"/>
      <c r="N20" s="1025" t="str">
        <f>IF(M11="","",G91)</f>
        <v/>
      </c>
      <c r="O20" s="989"/>
      <c r="P20" s="922" t="str">
        <f>IF(M20="","",IF(AND(M11="",M20&lt;&gt;""),"← remove",IF(OR(M20="a",M20="b",M20="c",M20="d",M20="e",M20="f",M20="g"),"","← check input")))</f>
        <v/>
      </c>
      <c r="Q20" s="923"/>
      <c r="R20" s="924"/>
      <c r="S20" s="2880"/>
      <c r="T20" s="2881"/>
      <c r="U20" s="1026" t="s">
        <v>861</v>
      </c>
      <c r="V20" s="469">
        <v>1.5</v>
      </c>
      <c r="W20" s="1027"/>
      <c r="X20" s="1028"/>
      <c r="Y20" s="1029"/>
      <c r="Z20" s="1030" t="str">
        <f>IF(Z19="","",IF(Z19&lt;30,'Parameter tables'!A66,IF(Z19&lt;38,'Parameter tables'!A67,IF(Z19&lt;60,'Parameter tables'!A68,IF(Z19&lt;150,'Parameter tables'!A69,'Parameter tables'!A70)))))</f>
        <v>mod. long or flat</v>
      </c>
      <c r="AA20" s="1031" t="str">
        <f>IF(Z20="","","blocks")</f>
        <v>blocks</v>
      </c>
      <c r="AB20" s="1032"/>
      <c r="AC20" s="1022"/>
    </row>
    <row r="21" spans="1:34" ht="11.25" customHeight="1">
      <c r="A21" s="2940"/>
      <c r="B21" s="913"/>
      <c r="C21" s="208"/>
      <c r="D21" s="2838"/>
      <c r="E21" s="2839"/>
      <c r="F21" s="2840"/>
      <c r="G21" s="2961"/>
      <c r="H21" s="2961"/>
      <c r="I21" s="2962"/>
      <c r="J21" s="3127" t="s">
        <v>392</v>
      </c>
      <c r="K21" s="3128"/>
      <c r="L21" s="1034" t="s">
        <v>64</v>
      </c>
      <c r="M21" s="779"/>
      <c r="N21" s="1035" t="str">
        <f>IF(M11="","",G92)</f>
        <v/>
      </c>
      <c r="O21" s="989"/>
      <c r="P21" s="922" t="str">
        <f>IF(M21="","",IF(AND(M11="",M21&lt;&gt;""),"← remove",IF(OR(M21="a",M21="b",M21="c",M21="d",M21="e",M21="f"),"","← check input")))</f>
        <v/>
      </c>
      <c r="Q21" s="923"/>
      <c r="R21" s="1036"/>
      <c r="S21" s="1037" t="s">
        <v>874</v>
      </c>
      <c r="T21" s="1038"/>
      <c r="U21" s="1039"/>
      <c r="V21" s="1040"/>
      <c r="W21" s="1041"/>
      <c r="X21" s="1041"/>
      <c r="Y21" s="1041"/>
      <c r="Z21" s="1041"/>
      <c r="AA21" s="1041"/>
      <c r="AB21" s="1041"/>
      <c r="AC21" s="1022"/>
    </row>
    <row r="22" spans="1:34" ht="11.25" customHeight="1">
      <c r="A22" s="2940"/>
      <c r="B22" s="913"/>
      <c r="D22" s="2838"/>
      <c r="E22" s="2839"/>
      <c r="F22" s="2840"/>
      <c r="G22" s="1042" t="s">
        <v>927</v>
      </c>
      <c r="H22" s="58"/>
      <c r="I22" s="3129"/>
      <c r="J22" s="1023" t="s">
        <v>638</v>
      </c>
      <c r="K22" s="1043"/>
      <c r="L22" s="987" t="s">
        <v>559</v>
      </c>
      <c r="M22" s="776"/>
      <c r="N22" s="3173" t="str">
        <f>IF(M11="","",G125)</f>
        <v/>
      </c>
      <c r="O22" s="1001"/>
      <c r="P22" s="922" t="str">
        <f>IF(M22="","",IF(AND(M11="",M22&lt;&gt;""),"← remove",IF(AND(M22&lt;&gt;"",M23&lt;&gt;""),"← only ONE input for 'Ja'",IF(OR(M22="a",M22="b",M22="c",M22="d",M22="e",M22="f"),"","← check input"))))</f>
        <v/>
      </c>
      <c r="Q22" s="1044"/>
      <c r="R22" s="1045"/>
      <c r="S22" s="1046" t="s">
        <v>928</v>
      </c>
      <c r="T22" s="1047"/>
      <c r="U22" s="917"/>
      <c r="V22" s="917"/>
      <c r="W22" s="917"/>
      <c r="X22" s="917"/>
      <c r="Y22" s="917"/>
      <c r="Z22" s="917"/>
      <c r="AA22" s="917"/>
      <c r="AB22" s="942"/>
      <c r="AC22" s="1048"/>
    </row>
    <row r="23" spans="1:34" ht="11.25" customHeight="1">
      <c r="A23" s="2940"/>
      <c r="B23" s="913"/>
      <c r="C23" s="208"/>
      <c r="D23" s="2841"/>
      <c r="E23" s="2842"/>
      <c r="F23" s="2843"/>
      <c r="G23" s="1049" t="s">
        <v>855</v>
      </c>
      <c r="H23" s="916"/>
      <c r="I23" s="3130"/>
      <c r="J23" s="1033" t="s">
        <v>639</v>
      </c>
      <c r="K23" s="1050"/>
      <c r="L23" s="1051" t="s">
        <v>559</v>
      </c>
      <c r="M23" s="780"/>
      <c r="N23" s="3174"/>
      <c r="O23" s="1001"/>
      <c r="P23" s="3319" t="str">
        <f>IF(M23="","",IF(AND(M11="",M23&lt;&gt;""),"← remove",IF(OR(M23="h",M23="i",M23="j",M23="k",M23="l",M23="m",M23="n",M23="o"),"","← check input")))</f>
        <v/>
      </c>
      <c r="Q23" s="3320"/>
      <c r="R23" s="1045"/>
      <c r="AA23" s="1052"/>
      <c r="AC23" s="912"/>
    </row>
    <row r="24" spans="1:34" ht="11.25" customHeight="1">
      <c r="A24" s="2940"/>
      <c r="B24" s="913"/>
      <c r="D24" s="2844" t="s">
        <v>628</v>
      </c>
      <c r="E24" s="2845"/>
      <c r="F24" s="2846"/>
      <c r="G24" s="1053" t="s">
        <v>838</v>
      </c>
      <c r="H24" s="1054"/>
      <c r="I24" s="986"/>
      <c r="J24" s="1055"/>
      <c r="K24" s="1056"/>
      <c r="L24" s="987" t="s">
        <v>76</v>
      </c>
      <c r="M24" s="777"/>
      <c r="N24" s="988" t="str">
        <f>IF(M11="","",G126)</f>
        <v/>
      </c>
      <c r="O24" s="989"/>
      <c r="P24" s="922" t="str">
        <f>IF(M24="","",IF(AND(M11="",M24&lt;&gt;""),"← remove",IF(OR(M24="a",M24="b",M24="c",M24="d",M24="e",M24="f",M24="g"),"","← check input")))</f>
        <v/>
      </c>
      <c r="Q24" s="923"/>
      <c r="R24" s="1045"/>
      <c r="S24" s="2885" t="s">
        <v>695</v>
      </c>
      <c r="T24" s="2886"/>
      <c r="U24" s="2886"/>
      <c r="V24" s="2886"/>
      <c r="W24" s="2886"/>
      <c r="X24" s="2886"/>
      <c r="Y24" s="2886"/>
      <c r="Z24" s="2886"/>
      <c r="AA24" s="2887"/>
      <c r="AC24" s="912"/>
    </row>
    <row r="25" spans="1:34" ht="11.25" customHeight="1">
      <c r="A25" s="2940"/>
      <c r="B25" s="913"/>
      <c r="C25" s="1057"/>
      <c r="D25" s="2847"/>
      <c r="E25" s="2848"/>
      <c r="F25" s="2849"/>
      <c r="G25" s="1058" t="s">
        <v>839</v>
      </c>
      <c r="H25" s="1059"/>
      <c r="I25" s="1060"/>
      <c r="J25" s="1061"/>
      <c r="K25" s="1061"/>
      <c r="L25" s="1034" t="s">
        <v>303</v>
      </c>
      <c r="M25" s="778"/>
      <c r="N25" s="1062" t="str">
        <f>IF(M11="","",IF(M25="",'Parameter tables'!A133,IF(M25="a",'Parameter tables'!A132,IF(M25="b",'Parameter tables'!A133,IF(M25="c",'Parameter tables'!A134,IF(M25="d",'Parameter tables'!A135,IF(M25="e",'Parameter tables'!A136,"?")))))))</f>
        <v/>
      </c>
      <c r="O25" s="989"/>
      <c r="P25" s="922" t="str">
        <f>IF(M25="","",IF(AND(M11="",M25&lt;&gt;""),"← remove",IF(OR(M25="a",M25="b",M25="c",M25="d",M25="e"),"","← check input")))</f>
        <v/>
      </c>
      <c r="Q25" s="894"/>
      <c r="S25" s="1063"/>
      <c r="T25" s="1064" t="s">
        <v>282</v>
      </c>
      <c r="U25" s="1065" t="str">
        <f>IF(U26&gt;90,"use strike value ≤ 90",IF(U27&gt;90,"use dip &lt; 90",""))</f>
        <v/>
      </c>
      <c r="V25" s="1065"/>
      <c r="X25" s="62" t="s">
        <v>271</v>
      </c>
      <c r="Y25" s="1066"/>
      <c r="AA25" s="912"/>
      <c r="AC25" s="912"/>
    </row>
    <row r="26" spans="1:34" ht="11.25" customHeight="1">
      <c r="A26" s="2940"/>
      <c r="B26" s="913"/>
      <c r="C26" s="912"/>
      <c r="D26" s="1067" t="s">
        <v>406</v>
      </c>
      <c r="E26" s="1068"/>
      <c r="F26" s="1069"/>
      <c r="G26" s="1070"/>
      <c r="H26" s="918"/>
      <c r="I26" s="918"/>
      <c r="J26" s="918"/>
      <c r="K26" s="1071"/>
      <c r="L26" s="1072" t="s">
        <v>571</v>
      </c>
      <c r="M26" s="781"/>
      <c r="N26" s="1073" t="str">
        <f>IF(M11="","",G98)</f>
        <v/>
      </c>
      <c r="O26" s="1001"/>
      <c r="P26" s="922" t="str">
        <f>IF(M26="","",IF(AND(M11="",M26&lt;&gt;""),"← remove",IF(OR(M26="a",M26="b",M26="c",M26="d",M26="e",M26="f",M26="g"),"","← check input")))</f>
        <v/>
      </c>
      <c r="Q26" s="894"/>
      <c r="R26" s="1045"/>
      <c r="S26" s="1063"/>
      <c r="T26" s="287" t="s">
        <v>625</v>
      </c>
      <c r="U26" s="790">
        <v>60</v>
      </c>
      <c r="V26" s="1074"/>
      <c r="X26" s="994"/>
      <c r="Y26" s="2033" t="str">
        <f>IF(U26="","",IF(U27&gt;'Parameter tables'!$AF$180,'Parameter tables'!$O$179,IF(U27&gt;='Parameter tables'!$AD$181,'Parameter tables'!$O$181,IF(U27&gt;='Parameter tables'!$AD$182,'Parameter tables'!$O$182,IF(U27&gt;='Parameter tables'!$AD$184,'Parameter tables'!$O$184,'Parameter tables'!$O$185)))))</f>
        <v>Favourable</v>
      </c>
      <c r="Z26" s="1076" t="s">
        <v>1125</v>
      </c>
      <c r="AA26" s="912"/>
      <c r="AC26" s="912"/>
    </row>
    <row r="27" spans="1:34" ht="11.25" customHeight="1" thickBot="1">
      <c r="A27" s="2941"/>
      <c r="B27" s="1077"/>
      <c r="C27" s="1078"/>
      <c r="D27" s="1079" t="s">
        <v>1189</v>
      </c>
      <c r="E27" s="1080"/>
      <c r="F27" s="1081"/>
      <c r="G27" s="1082"/>
      <c r="H27" s="1083"/>
      <c r="I27" s="1082"/>
      <c r="J27" s="1082"/>
      <c r="K27" s="1084" t="str">
        <f>IF(M27="","",IF(AND(M28&lt;&gt;"",M27="e"),"Remove one SRF input ",IF(AND(M28&lt;&gt;"",M27="f"),"Remove one SRF input ",IF(AND(M28&lt;&gt;"",M27="g"),"Remove one SRF input ",IF(AND(M28&lt;&gt;"",M27="h"),"Remove one SRF input ",IF(AND(M28&lt;&gt;"",M27="i"),"Remove one SRF input ",""))))))</f>
        <v/>
      </c>
      <c r="L27" s="1085" t="s">
        <v>733</v>
      </c>
      <c r="M27" s="782"/>
      <c r="N27" s="1086" t="str">
        <f>IF(M11="","",IF(M27="",'Parameter tables'!A154,IF(M27="a",'Parameter tables'!A152,IF(M27="b",'Parameter tables'!A153,IF(M27="c",'Parameter tables'!A154,IF(M27="d",'Parameter tables'!A155,IF(M27="e",'Parameter tables'!A158,IF(M27="f",'Parameter tables'!A159,IF(M27="g",'Parameter tables'!A160,IF(M27="h",'Parameter tables'!A161,IF(M27="i",'Parameter tables'!A162,"")))))))))))</f>
        <v/>
      </c>
      <c r="O27" s="989"/>
      <c r="P27" s="1087" t="str">
        <f>IF(M27="","",IF(AND(M11="",M27&lt;&gt;""),"← remove",IF(OR(M27="a",M27="b",M27="c",M27="d",M27="e",M27="f",M27="g",M27="h",M27="i"),"","← check input")))</f>
        <v/>
      </c>
      <c r="Q27" s="1088"/>
      <c r="R27" s="1089"/>
      <c r="S27" s="1063"/>
      <c r="T27" s="287" t="s">
        <v>626</v>
      </c>
      <c r="U27" s="790">
        <v>45</v>
      </c>
      <c r="V27" s="1090"/>
      <c r="X27" s="994"/>
      <c r="Y27" s="2033" t="str">
        <f>IF(U27="","",IF(U27&lt;'Parameter tables'!V179,'Parameter tables'!O179,IF(U26&gt;'Parameter tables'!$S$180,'Parameter tables'!$O$179,IF(AND(U26&lt;'Parameter tables'!$S$181,U27&lt;'Parameter tables'!$V$181,U27&gt;'Parameter tables'!$T$181),'Parameter tables'!$O$181,IF(AND(U26&lt;'Parameter tables'!$S$182,U27&lt;='Parameter tables'!$V$182,U27&gt;='Parameter tables'!$T$182),'Parameter tables'!$O$182,IF(AND(U26&lt;='Parameter tables'!$S$183,U26&gt;='Parameter tables'!$Q$183,U27&lt;'Parameter tables'!$V$183),'Parameter tables'!$O$182,IF(AND(U26&lt;='Parameter tables'!$S$184,U26&gt;='Parameter tables'!$Q$184,U27&lt;='Parameter tables'!$V$184,U27&gt;='Parameter tables'!$T$184),'Parameter tables'!$O$184,IF(AND(U26&lt;'Parameter tables'!$S$185,U27&lt;='Parameter tables'!$V$185,U27&gt;='Parameter tables'!$T$185),'Parameter tables'!$O$185,"?"))))))))</f>
        <v>Unfavourable</v>
      </c>
      <c r="Z27" s="1076" t="s">
        <v>1126</v>
      </c>
      <c r="AA27" s="912"/>
      <c r="AC27" s="912"/>
      <c r="AD27" s="1091"/>
    </row>
    <row r="28" spans="1:34" ht="6" customHeight="1" thickTop="1">
      <c r="A28" s="3101" t="s">
        <v>887</v>
      </c>
      <c r="B28" s="1092"/>
      <c r="C28" s="1093"/>
      <c r="D28" s="1094"/>
      <c r="E28" s="3326" t="s">
        <v>1128</v>
      </c>
      <c r="F28" s="3327"/>
      <c r="G28" s="3327"/>
      <c r="H28" s="3327"/>
      <c r="I28" s="3353" t="str">
        <f>IF(M28="","Input of SRFz is required for                      calculation of weak zone","")</f>
        <v>Input of SRFz is required for                      calculation of weak zone</v>
      </c>
      <c r="J28" s="3353"/>
      <c r="K28" s="3353"/>
      <c r="L28" s="3151" t="s">
        <v>868</v>
      </c>
      <c r="M28" s="3308"/>
      <c r="N28" s="3125" t="str">
        <f>IF(M28="f","assumed zone composition",IF(M28="g","crushed, clayfree weak zone",IF(M28="h","Crushed and seamy zone",IF(M28="i","Zone with soft or weak soil filling",""))))</f>
        <v/>
      </c>
      <c r="O28" s="1095"/>
      <c r="P28" s="2870" t="str">
        <f>IF(AND(M28="",M11=""),"← input of zone",IF(AND(M28="",M11&lt;&gt;""),"",IF(OR(M28="f",M28="g",M28="h",M28="i"),"","← check input")))</f>
        <v>← input of zone</v>
      </c>
      <c r="Q28" s="2871"/>
      <c r="R28" s="1045"/>
      <c r="S28" s="1063"/>
      <c r="U28" s="1090"/>
      <c r="W28" s="2884" t="str">
        <f>IF(U27="","",IF(U27&lt;'Parameter tables'!AB179,'Parameter tables'!O179,IF(U26&gt;'Parameter tables'!$Y$180,'Parameter tables'!$O$179,IF(AND(U26&lt;'Parameter tables'!$Y$181,U27&lt;'Parameter tables'!$AB$181),'Parameter tables'!$O$181,IF(AND(U26&lt;'Parameter tables'!$Y$182,U27&lt;='Parameter tables'!$AB$182),'Parameter tables'!$O$182,IF(AND(U26&lt;='Parameter tables'!$Y$183,U26&gt;='Parameter tables'!$W$183),'Parameter tables'!$O$182,IF(AND(U26&lt;'Parameter tables'!$Y$184,U27&gt;'Parameter tables'!$AB$184),'Parameter tables'!$O$184,"?")))))))</f>
        <v>Fair</v>
      </c>
      <c r="X28" s="2884"/>
      <c r="Y28" s="2884"/>
      <c r="Z28" s="2876" t="s">
        <v>304</v>
      </c>
      <c r="AA28" s="2877"/>
      <c r="AC28" s="912"/>
      <c r="AD28" s="1091"/>
    </row>
    <row r="29" spans="1:34" ht="12" customHeight="1">
      <c r="A29" s="3102"/>
      <c r="B29" s="1096"/>
      <c r="C29" s="210"/>
      <c r="D29" s="912"/>
      <c r="E29" s="3328"/>
      <c r="F29" s="3329"/>
      <c r="G29" s="3329"/>
      <c r="H29" s="3329"/>
      <c r="I29" s="3354"/>
      <c r="J29" s="3354"/>
      <c r="K29" s="3354"/>
      <c r="L29" s="3152"/>
      <c r="M29" s="3309"/>
      <c r="N29" s="3126"/>
      <c r="O29" s="1095"/>
      <c r="P29" s="2870"/>
      <c r="Q29" s="2871"/>
      <c r="R29" s="1045"/>
      <c r="S29" s="1097" t="s">
        <v>1196</v>
      </c>
      <c r="W29" s="2884"/>
      <c r="X29" s="2884"/>
      <c r="Y29" s="2884"/>
      <c r="Z29" s="2876"/>
      <c r="AA29" s="2877"/>
      <c r="AB29" s="1098"/>
      <c r="AC29" s="912"/>
      <c r="AD29" s="1099"/>
    </row>
    <row r="30" spans="1:34" ht="11.1" customHeight="1">
      <c r="A30" s="3102"/>
      <c r="B30" s="1096"/>
      <c r="C30" s="210"/>
      <c r="D30" s="912"/>
      <c r="E30" s="1100" t="s">
        <v>1134</v>
      </c>
      <c r="F30" s="1041"/>
      <c r="G30" s="938"/>
      <c r="H30" s="1003"/>
      <c r="I30" s="1101"/>
      <c r="J30" s="1102" t="str">
        <f>IF(M28="i","for info on filling materials,","")</f>
        <v/>
      </c>
      <c r="K30" s="796" t="str">
        <f>IF(J30="","","click here")</f>
        <v/>
      </c>
      <c r="L30" s="1103" t="s">
        <v>917</v>
      </c>
      <c r="M30" s="771"/>
      <c r="N30" s="1104" t="str">
        <f>IF(M28="","",IF(M30&lt;&gt;"","",IF(M30&lt;&gt;"",M30,IF(M28="f",'Parameter tables'!S167,IF(M28="g",'Parameter tables'!S168,IF(M28="h",'Parameter tables'!S169,IF(M28="i",'Parameter tables'!S170,"")))))))</f>
        <v/>
      </c>
      <c r="O30" s="1105"/>
      <c r="P30" s="1106" t="str">
        <f>IF(AND(M30&lt;&gt;"",M28=""),"← remove",IF(OR(M30="a",M30="b",M30="c",M30="d",M30="e"),"← check input, use value",""))</f>
        <v/>
      </c>
      <c r="Q30" s="894"/>
      <c r="R30" s="1045"/>
      <c r="S30" s="1107"/>
      <c r="T30" s="1108"/>
      <c r="U30" s="1109" t="s">
        <v>1085</v>
      </c>
      <c r="V30" s="1109"/>
      <c r="W30" s="1109"/>
      <c r="X30" s="1109"/>
      <c r="Y30" s="1109"/>
      <c r="Z30" s="1109"/>
      <c r="AA30" s="1110"/>
      <c r="AC30" s="912"/>
      <c r="AD30" s="1099"/>
    </row>
    <row r="31" spans="1:34" ht="11.1" customHeight="1">
      <c r="A31" s="3102"/>
      <c r="B31" s="1096"/>
      <c r="C31" s="210"/>
      <c r="D31" s="912"/>
      <c r="E31" s="1111" t="s">
        <v>1087</v>
      </c>
      <c r="F31" s="1041"/>
      <c r="G31" s="1112"/>
      <c r="H31" s="1003"/>
      <c r="I31" s="1003"/>
      <c r="J31" s="1003"/>
      <c r="K31" s="1113" t="str">
        <f>IF(AND(M28="i",M31&gt;K81),"zone size outside RMi limit",IF(M31&gt;E81,"zone size exceeds RMi limit",""))</f>
        <v/>
      </c>
      <c r="L31" s="1114" t="s">
        <v>640</v>
      </c>
      <c r="M31" s="470"/>
      <c r="N31" s="1115" t="str">
        <f>IF(M28="","",IF(M31&lt;&gt;"","",IF(M31&lt;&gt;"",M31,G78)))</f>
        <v/>
      </c>
      <c r="O31" s="1116"/>
      <c r="P31" s="1106" t="str">
        <f>IF(OR(M31="a",M31="b",M31="c",M31="d",M31="e",M31="f",M31="g",M31="h",M31="i",M31="j",M31="k",M31="l",M31="m",M31="n",M31="o",M31="p",M31="q"),"check input",IF(K31&lt;&gt;"","← check input",IF(AND(M31&lt;&gt;"",M28=""),"← remove","")))</f>
        <v/>
      </c>
      <c r="Q31" s="923"/>
      <c r="R31" s="1117"/>
      <c r="S31" s="1108"/>
      <c r="T31" s="1108"/>
      <c r="U31" s="917"/>
      <c r="V31" s="917"/>
      <c r="W31" s="917"/>
      <c r="X31" s="917"/>
      <c r="Y31" s="917"/>
      <c r="Z31" s="917"/>
      <c r="AA31" s="917"/>
      <c r="AB31" s="917"/>
      <c r="AC31" s="1118"/>
      <c r="AD31" s="1099"/>
    </row>
    <row r="32" spans="1:34" ht="11.1" customHeight="1">
      <c r="A32" s="3102"/>
      <c r="B32" s="1096"/>
      <c r="C32" s="210"/>
      <c r="D32" s="912"/>
      <c r="E32" s="1111" t="s">
        <v>1132</v>
      </c>
      <c r="F32" s="1041"/>
      <c r="G32" s="938"/>
      <c r="H32" s="1003"/>
      <c r="I32" s="1003"/>
      <c r="J32" s="1003"/>
      <c r="K32" s="1119"/>
      <c r="L32" s="1114" t="s">
        <v>641</v>
      </c>
      <c r="M32" s="471"/>
      <c r="N32" s="1120" t="str">
        <f>IF(M28="","",IF(M32&lt;&gt;"","",IF(OR(M28="f",M28="g",M28="h",M28="i"),F138,"?")))</f>
        <v/>
      </c>
      <c r="O32" s="1121"/>
      <c r="P32" s="1122" t="str">
        <f>IF(OR(M32="a",M32="b",M32="c",M32="d",M32="e",M32="f",M32="g",M32="h",M32="i",M32="j",M32="k",M32="l",M32="m",M32="n",M32="o",M32="p",M32="q"),"← check input",IF(AND(M28="i",M32&lt;&gt;""),"← Remove (filling is of soil material)",IF(AND(M32&lt;&gt;"",M28=""),"← remove","")))</f>
        <v/>
      </c>
      <c r="Q32" s="923"/>
      <c r="R32" s="1045"/>
      <c r="S32" s="1123"/>
      <c r="T32" s="1124"/>
      <c r="AC32" s="912"/>
      <c r="AD32" s="1125"/>
    </row>
    <row r="33" spans="1:29" ht="11.1" customHeight="1">
      <c r="A33" s="3102"/>
      <c r="B33" s="1096"/>
      <c r="C33" s="210"/>
      <c r="D33" s="912"/>
      <c r="E33" s="3164" t="s">
        <v>883</v>
      </c>
      <c r="F33" s="3165"/>
      <c r="G33" s="3165"/>
      <c r="H33" s="3104" t="s">
        <v>884</v>
      </c>
      <c r="I33" s="3105"/>
      <c r="J33" s="800" t="s">
        <v>1206</v>
      </c>
      <c r="K33" s="1126"/>
      <c r="L33" s="1114" t="s">
        <v>560</v>
      </c>
      <c r="M33" s="472"/>
      <c r="N33" s="1127" t="str">
        <f>IF(M28="","",IF(OR(M28="a",M28="b",M28="c",M28="d",M28="e"),"",IF(M33="",G144,G144)))</f>
        <v/>
      </c>
      <c r="O33" s="1128"/>
      <c r="P33" s="1106" t="str">
        <f>IF(AND(M33&lt;&gt;"",M28=""),"← remove",IF(OR(M33="",M33="a",M33="b",M33="c",M33="d",M33="e"),"","← check input"))</f>
        <v/>
      </c>
      <c r="Q33" s="923"/>
      <c r="R33" s="1045"/>
      <c r="S33" s="2019" t="s">
        <v>856</v>
      </c>
      <c r="T33" s="826"/>
      <c r="AC33" s="912"/>
    </row>
    <row r="34" spans="1:29" ht="11.1" customHeight="1">
      <c r="A34" s="3102"/>
      <c r="B34" s="1096"/>
      <c r="C34" s="210"/>
      <c r="D34" s="912"/>
      <c r="E34" s="3166"/>
      <c r="F34" s="3167"/>
      <c r="G34" s="3167"/>
      <c r="H34" s="1129"/>
      <c r="I34" s="1130" t="s">
        <v>515</v>
      </c>
      <c r="J34" s="1130"/>
      <c r="K34" s="1131"/>
      <c r="L34" s="1132" t="s">
        <v>561</v>
      </c>
      <c r="M34" s="473"/>
      <c r="N34" s="1133" t="str">
        <f>IF(M28="","",IF(OR(M28="a",M28="b",M28="c",M28="d",M28="e"),"",IF(M34="",G145,G145)))</f>
        <v/>
      </c>
      <c r="O34" s="1128"/>
      <c r="P34" s="1106" t="str">
        <f>IF(AND(M34&lt;&gt;"",M28=""),"← remove",IF(OR(M34="",M34="a",M34="b",M34="c",M34="d",M34="e"),"","← check input"))</f>
        <v/>
      </c>
      <c r="Q34" s="923"/>
      <c r="R34" s="1045"/>
      <c r="S34" s="1134" t="s">
        <v>1084</v>
      </c>
      <c r="T34" s="826"/>
      <c r="AC34" s="912"/>
    </row>
    <row r="35" spans="1:29" ht="11.1" customHeight="1">
      <c r="A35" s="3102"/>
      <c r="B35" s="1096"/>
      <c r="C35" s="210"/>
      <c r="D35" s="912"/>
      <c r="E35" s="1135" t="s">
        <v>1038</v>
      </c>
      <c r="F35" s="1041"/>
      <c r="G35" s="1136"/>
      <c r="H35" s="1041"/>
      <c r="I35" s="1137"/>
      <c r="J35" s="1137"/>
      <c r="K35" s="1138" t="str">
        <f>IF(M35="g","Swelling clay is not included in RMi","")</f>
        <v/>
      </c>
      <c r="L35" s="1132" t="s">
        <v>1090</v>
      </c>
      <c r="M35" s="473"/>
      <c r="N35" s="2023" t="str">
        <f>G142</f>
        <v/>
      </c>
      <c r="O35" s="1139"/>
      <c r="P35" s="3153" t="str">
        <f>IF(AND(M$28="",M35&lt;&gt;""),"← remove",IF(OR(M35="",M35="a",M35="b",M35="c",M35="d",M35="e",M35="f"),"","← check input"))</f>
        <v/>
      </c>
      <c r="Q35" s="3154"/>
      <c r="R35" s="1140"/>
      <c r="S35" s="1108"/>
      <c r="T35" s="917"/>
      <c r="U35" s="917"/>
      <c r="V35" s="917"/>
      <c r="W35" s="917"/>
      <c r="X35" s="917"/>
      <c r="Y35" s="917"/>
      <c r="Z35" s="917"/>
      <c r="AA35" s="917"/>
      <c r="AB35" s="917"/>
      <c r="AC35" s="1118"/>
    </row>
    <row r="36" spans="1:29" ht="11.1" customHeight="1">
      <c r="A36" s="3102"/>
      <c r="B36" s="1096"/>
      <c r="C36" s="210"/>
      <c r="D36" s="912"/>
      <c r="E36" s="1135" t="s">
        <v>869</v>
      </c>
      <c r="F36" s="1041"/>
      <c r="G36" s="1136"/>
      <c r="H36" s="1041"/>
      <c r="I36" s="1137"/>
      <c r="J36" s="1137"/>
      <c r="K36" s="1138"/>
      <c r="L36" s="1141" t="s">
        <v>916</v>
      </c>
      <c r="M36" s="474"/>
      <c r="N36" s="1133" t="str">
        <f>IF(M28="","",H98)</f>
        <v/>
      </c>
      <c r="O36" s="1128"/>
      <c r="P36" s="1142" t="str">
        <f>IF(M36="","",IF(AND(M28="",M36&lt;&gt;""),"← remove",IF(OR(M36="a",M36="b",M36="c",M36="d",M36="e",M36="f",M36="g"),"","← check input")))</f>
        <v/>
      </c>
      <c r="Q36" s="894"/>
      <c r="R36" s="1143" t="s">
        <v>1119</v>
      </c>
      <c r="S36" s="847" t="s">
        <v>1120</v>
      </c>
      <c r="T36" s="872"/>
      <c r="U36" s="872"/>
      <c r="V36" s="872"/>
      <c r="W36" s="872"/>
      <c r="X36" s="872"/>
      <c r="Y36" s="872"/>
      <c r="Z36" s="872"/>
      <c r="AA36" s="872"/>
      <c r="AB36" s="872"/>
      <c r="AC36" s="1144"/>
    </row>
    <row r="37" spans="1:29" ht="11.1" customHeight="1" thickBot="1">
      <c r="A37" s="3103"/>
      <c r="B37" s="1096"/>
      <c r="C37" s="210"/>
      <c r="D37" s="826"/>
      <c r="E37" s="1145" t="s">
        <v>907</v>
      </c>
      <c r="G37" s="1146"/>
      <c r="I37" s="1147"/>
      <c r="J37" s="1147"/>
      <c r="K37" s="1148"/>
      <c r="L37" s="1149" t="s">
        <v>915</v>
      </c>
      <c r="M37" s="475"/>
      <c r="N37" s="1150" t="str">
        <f>IF(M28="","",G141)</f>
        <v/>
      </c>
      <c r="O37" s="1128"/>
      <c r="P37" s="1142" t="str">
        <f>IF(M37="","",IF(AND(M28="",M37&lt;&gt;""),"← remove",IF(OR(M37="a",M37="b",M37="c"),"","← check input")))</f>
        <v/>
      </c>
      <c r="Q37" s="894"/>
      <c r="R37" s="880"/>
      <c r="S37" s="870" t="s">
        <v>1082</v>
      </c>
      <c r="T37" s="872"/>
      <c r="U37" s="872"/>
      <c r="V37" s="872"/>
      <c r="W37" s="872"/>
      <c r="X37" s="872"/>
      <c r="Y37" s="872"/>
      <c r="Z37" s="872"/>
      <c r="AA37" s="872"/>
      <c r="AB37" s="872"/>
      <c r="AC37" s="1144"/>
    </row>
    <row r="38" spans="1:29" ht="12.75" customHeight="1" thickTop="1">
      <c r="A38" s="1151" t="s">
        <v>885</v>
      </c>
      <c r="B38" s="1152"/>
      <c r="C38" s="1152"/>
      <c r="D38" s="3112" t="s">
        <v>590</v>
      </c>
      <c r="E38" s="3112"/>
      <c r="F38" s="3112"/>
      <c r="G38" s="3112"/>
      <c r="H38" s="3112"/>
      <c r="I38" s="3112"/>
      <c r="J38" s="3112"/>
      <c r="K38" s="1153"/>
      <c r="L38" s="1153"/>
      <c r="M38" s="1154" t="str">
        <f>IF(AND(M28="",M11=""),"need input of DJ and/or SRFz",IF(AND(M28="",P40&lt;&gt;""),"clear 'check box'",IF(AND(M48&lt;&gt;"",M44=""),"remove 'x' in 'check box'",IF(AND(Q22="",P36="",P35="",P34="",P33="",P32="",P31="",P30="",P28="",P27="",P26="",P25="",P24="",P23="",P22="",P21="",P20="",P19="",P18="",P17="",P16="",P15="",P14="",P13="",P11="",P10=""),"","CHECK INPUT"))))</f>
        <v>need input of DJ and/or SRFz</v>
      </c>
      <c r="N38" s="1155"/>
      <c r="O38" s="1156"/>
      <c r="P38" s="1157"/>
      <c r="Q38" s="1158"/>
      <c r="R38" s="1159"/>
      <c r="S38" s="1160" t="s">
        <v>1083</v>
      </c>
      <c r="T38" s="1161"/>
      <c r="U38" s="860"/>
      <c r="V38" s="1162"/>
      <c r="W38" s="1162"/>
      <c r="X38" s="1162"/>
      <c r="Y38" s="1162"/>
      <c r="Z38" s="1162"/>
      <c r="AA38" s="1162"/>
      <c r="AB38" s="1162"/>
      <c r="AC38" s="1163"/>
    </row>
    <row r="39" spans="1:29" ht="12.75" customHeight="1">
      <c r="A39" s="2988"/>
      <c r="B39" s="2989"/>
      <c r="C39" s="2990"/>
      <c r="D39" s="3350" t="s">
        <v>104</v>
      </c>
      <c r="E39" s="3351"/>
      <c r="F39" s="3352"/>
      <c r="G39" s="3348" t="s">
        <v>402</v>
      </c>
      <c r="H39" s="3348"/>
      <c r="I39" s="3349"/>
      <c r="J39" s="1164"/>
      <c r="K39" s="1165"/>
      <c r="L39" s="1166" t="s">
        <v>672</v>
      </c>
      <c r="M39" s="1167"/>
      <c r="N39" s="1168"/>
      <c r="O39" s="1169"/>
      <c r="P39" s="1087"/>
      <c r="Q39" s="1170"/>
      <c r="S39" s="1171"/>
      <c r="AC39" s="843"/>
    </row>
    <row r="40" spans="1:29" ht="12" customHeight="1">
      <c r="A40" s="2985" t="str">
        <f>IF(M$11="","","Jointed rock →")</f>
        <v/>
      </c>
      <c r="B40" s="2986"/>
      <c r="C40" s="2987"/>
      <c r="D40" s="1172" t="str">
        <f>IF(OR(D42&lt;&gt;"",A40=""),"","RMR =")</f>
        <v/>
      </c>
      <c r="E40" s="1173" t="str">
        <f>IF(D42&lt;&gt;"","",M100)</f>
        <v/>
      </c>
      <c r="F40" s="1174" t="str">
        <f>IF(D42&lt;&gt;"","",N100)</f>
        <v/>
      </c>
      <c r="G40" s="1172" t="str">
        <f>IF(H40="","","Q =")</f>
        <v/>
      </c>
      <c r="H40" s="1175" t="str">
        <f>E101</f>
        <v/>
      </c>
      <c r="I40" s="1176" t="str">
        <f>G101</f>
        <v/>
      </c>
      <c r="J40" s="1177" t="str">
        <f>IF(K40="","","Gc =")</f>
        <v/>
      </c>
      <c r="K40" s="1175" t="str">
        <f>IF(M27="e","mild burst",IF(M27="f","mod. burst",IF(M27="g","heavy burst",L130)))</f>
        <v/>
      </c>
      <c r="L40" s="1178" t="str">
        <f>IF(OR(M27="e",M27="f",M27="g"),"",N130)</f>
        <v/>
      </c>
      <c r="M40" s="1179" t="str">
        <f>IF(N40="","","Sr =")</f>
        <v/>
      </c>
      <c r="N40" s="1180" t="str">
        <f>L134</f>
        <v/>
      </c>
      <c r="O40" s="1181"/>
      <c r="P40" s="801"/>
      <c r="Q40" s="1182" t="str">
        <f>IF(AND(P40="",M28&lt;&gt;"",M11&lt;&gt;""),"← Fill in 'x' to see support of WEAKNESS ZONE",IF(AND(M28&lt;&gt;"",M11&lt;&gt;"",P40&lt;&gt;""),"← Remove 'x' to see support of JOINTED ROCKMASS",IF(AND(M11&lt;&gt;"",M28&lt;&gt;"",P40&lt;&gt;""),"← Remove 'x' to see support of JOINTED ROCK",IF(AND(M28&lt;&gt;"",P40=""),"← Fill 'x' to see support of WEAKNESS ZONE",IF(AND(M28="",P40&lt;&gt;""),"← remove 'x'","")))))</f>
        <v/>
      </c>
      <c r="R40" s="1183"/>
      <c r="U40" s="1184"/>
      <c r="V40" s="1184"/>
      <c r="W40" s="1184"/>
      <c r="X40" s="1184"/>
      <c r="Y40" s="1184"/>
      <c r="Z40" s="1184"/>
      <c r="AA40" s="1184"/>
      <c r="AB40" s="1184"/>
      <c r="AC40" s="1185"/>
    </row>
    <row r="41" spans="1:29" ht="11.25" customHeight="1">
      <c r="A41" s="1186"/>
      <c r="B41" s="1187"/>
      <c r="C41" s="1188" t="str">
        <f>IF(AND(M28&lt;&gt;"",M11&lt;&gt;"",P40&lt;&gt;""),"Weakness zone*) →",IF(M28&lt;&gt;"","Weakness zone →",""))</f>
        <v/>
      </c>
      <c r="D41" s="3161" t="str">
        <f>IF(M28&lt;&gt;"","For weak zones, the RMR is unclear","")</f>
        <v/>
      </c>
      <c r="E41" s="3162"/>
      <c r="F41" s="3163"/>
      <c r="G41" s="1189" t="str">
        <f>IF(C41="","","Qz =")</f>
        <v/>
      </c>
      <c r="H41" s="1190" t="str">
        <f>IF(C41="","",IF(AND(M11&lt;&gt;"",M28&lt;&gt;"",P40&lt;&gt;""),F102,IF(M28&lt;&gt;"",F101,"")))</f>
        <v/>
      </c>
      <c r="I41" s="1191" t="str">
        <f>IF(AND(M28&lt;&gt;"",M11&lt;&gt;""),H102,H101)</f>
        <v/>
      </c>
      <c r="J41" s="1192" t="str">
        <f>IF(C41="","","Gcz =")</f>
        <v/>
      </c>
      <c r="K41" s="1193" t="str">
        <f>IF(C41="","",IF(AND(M11&lt;&gt;"",M28&lt;&gt;"",P40&lt;&gt;""),M130,IF(M28&lt;&gt;"",F150*F147/F146,"")))</f>
        <v/>
      </c>
      <c r="L41" s="1194" t="str">
        <f>P130</f>
        <v/>
      </c>
      <c r="M41" s="1195" t="str">
        <f>IF(N41="","","Srz =")</f>
        <v/>
      </c>
      <c r="N41" s="1196" t="str">
        <f>M134</f>
        <v/>
      </c>
      <c r="O41" s="1197"/>
      <c r="P41" s="801"/>
      <c r="Q41" s="1198" t="str">
        <f>IF(AND(P41="",M44&lt;&gt;""),"← fill 'x' in check box to compare what the support would be without bursting",IF(AND(M44="",P41&lt;&gt;""),"← remove 'x' ",IF(OR(M27="h",M27="i"),"",IF(AND(M44&lt;&gt;"",P41&lt;&gt;""),"Remove 'x' to leave the comparison",IF(AND(M27="",P41&lt;&gt;""),"← check box",IF(M44="","",IF(AND(M44&lt;&gt;"",M45&lt;&gt;"",P40=""),"← check box","")))))))</f>
        <v/>
      </c>
      <c r="R41" s="1183"/>
      <c r="T41" s="1184"/>
      <c r="U41" s="1184"/>
      <c r="V41" s="1184"/>
      <c r="W41" s="1184"/>
      <c r="X41" s="1184"/>
      <c r="Y41" s="1184"/>
      <c r="Z41" s="1184"/>
      <c r="AA41" s="1184"/>
      <c r="AB41" s="1184"/>
      <c r="AC41" s="1185"/>
    </row>
    <row r="42" spans="1:29" ht="12" customHeight="1">
      <c r="A42" s="3007" t="str">
        <f>IF(M$11="","","Rockmass deformation modulus")</f>
        <v/>
      </c>
      <c r="B42" s="3008"/>
      <c r="C42" s="1199"/>
      <c r="D42" s="3158" t="str">
        <f>IF(OR(M27="e",M27="f",M27="g"),"Bursting is not covered by RMR",IF(OR(,M27="h",M27="i"),"Squeezing is not covered by RMR",""))</f>
        <v/>
      </c>
      <c r="E42" s="3159"/>
      <c r="F42" s="3160"/>
      <c r="G42" s="942"/>
      <c r="H42" s="942"/>
      <c r="I42" s="1048"/>
      <c r="J42" s="3322" t="str">
        <f>IF(M$11="","","In Jointed rock, RMi =")</f>
        <v/>
      </c>
      <c r="K42" s="3323"/>
      <c r="L42" s="1201" t="str">
        <f>M127</f>
        <v/>
      </c>
      <c r="M42" s="1200" t="str">
        <f>IF(M$28&lt;&gt;"","In zone, RMi =","")</f>
        <v/>
      </c>
      <c r="N42" s="1202" t="str">
        <f>F150</f>
        <v/>
      </c>
      <c r="O42" s="1203"/>
      <c r="P42" s="3175" t="str">
        <f>IF(AND(M11="",M28=""),"",IF(AND(P40="",M28&lt;&gt;""),"check box",IF(AND(M11&lt;&gt;"",M28&lt;&gt;"",P40&lt;&gt;""),"check box",IF(AND(M11&lt;&gt;"",P40&lt;&gt;""),"    ↑ clear check box",IF(Q41&lt;&gt;"","check box","")))))</f>
        <v/>
      </c>
      <c r="Q42" s="1204"/>
      <c r="S42" s="3317" t="s">
        <v>1093</v>
      </c>
      <c r="T42" s="3317"/>
      <c r="U42" s="3317"/>
      <c r="V42" s="3317"/>
      <c r="W42" s="3317"/>
      <c r="X42" s="3317"/>
      <c r="Y42" s="3317"/>
      <c r="Z42" s="3317"/>
      <c r="AA42" s="3317"/>
      <c r="AB42" s="3317"/>
      <c r="AC42" s="3318"/>
    </row>
    <row r="43" spans="1:29" ht="12.75" customHeight="1" thickBot="1">
      <c r="A43" s="3009"/>
      <c r="B43" s="3010"/>
      <c r="C43" s="1205" t="str">
        <f>IF(M$11="","","→")</f>
        <v/>
      </c>
      <c r="D43" s="1206" t="str">
        <f>IF(E43="","","Em ≈")</f>
        <v/>
      </c>
      <c r="E43" s="1207" t="str">
        <f>IF(E40="","",IF(M103&lt;&gt;"",M103,M104))</f>
        <v/>
      </c>
      <c r="F43" s="1208" t="str">
        <f>IF(E43="","",IF(M103&lt;&gt;"","( for RMR &gt;50 )","( for RMR &lt;50 )"))</f>
        <v/>
      </c>
      <c r="G43" s="1206" t="str">
        <f>IF(H43="","","Em ≈")</f>
        <v/>
      </c>
      <c r="H43" s="1207" t="str">
        <f>E113</f>
        <v/>
      </c>
      <c r="I43" s="1209" t="str">
        <f>IF(H43="","","(for Q &gt; 1 )")</f>
        <v/>
      </c>
      <c r="J43" s="2866" t="str">
        <f>IF(M$11="","","In Jointed rock, Em ≈")</f>
        <v/>
      </c>
      <c r="K43" s="2867"/>
      <c r="L43" s="1210" t="str">
        <f>M148</f>
        <v/>
      </c>
      <c r="M43" s="3304" t="str">
        <f>IF(AND(M11&lt;&gt;"",M28&lt;&gt;"",P40&lt;&gt;""),"*) arching effect is included","")</f>
        <v/>
      </c>
      <c r="N43" s="3305"/>
      <c r="O43" s="1211"/>
      <c r="P43" s="3176"/>
      <c r="Q43" s="1212"/>
      <c r="R43" s="1213"/>
      <c r="S43" s="3317"/>
      <c r="T43" s="3317"/>
      <c r="U43" s="3317"/>
      <c r="V43" s="3317"/>
      <c r="W43" s="3317"/>
      <c r="X43" s="3317"/>
      <c r="Y43" s="3317"/>
      <c r="Z43" s="3317"/>
      <c r="AA43" s="3317"/>
      <c r="AB43" s="3317"/>
      <c r="AC43" s="3318"/>
    </row>
    <row r="44" spans="1:29" ht="12" customHeight="1">
      <c r="A44" s="3133" t="s">
        <v>443</v>
      </c>
      <c r="B44" s="3134"/>
      <c r="C44" s="1214">
        <f>IF(L2="",M78,L2)</f>
        <v>12</v>
      </c>
      <c r="D44" s="2931" t="s">
        <v>862</v>
      </c>
      <c r="E44" s="2932"/>
      <c r="F44" s="2933"/>
      <c r="G44" s="3113" t="s">
        <v>1064</v>
      </c>
      <c r="H44" s="3114"/>
      <c r="I44" s="3115"/>
      <c r="J44" s="3346" t="str">
        <f>IF(AND(P41="",M27="e"),"",IF(AND(P41="",M27="f"),"",IF(AND(P41="",M27="g"),"",IF(AND(P41="",M27="h"),"",IF(AND(P41="",M27="i"),"","Estimated Rock support")))))</f>
        <v>Estimated Rock support</v>
      </c>
      <c r="K44" s="3347"/>
      <c r="L44" s="3347"/>
      <c r="M44" s="2929" t="str">
        <f>IF(OR(M27="e",M27="f",M27="g"),"Estimated Rock support","")</f>
        <v/>
      </c>
      <c r="N44" s="2930"/>
      <c r="O44" s="1215"/>
      <c r="R44" s="1216"/>
      <c r="S44" s="3317"/>
      <c r="T44" s="3317"/>
      <c r="U44" s="3317"/>
      <c r="V44" s="3317"/>
      <c r="W44" s="3317"/>
      <c r="X44" s="3317"/>
      <c r="Y44" s="3317"/>
      <c r="Z44" s="3317"/>
      <c r="AA44" s="3317"/>
      <c r="AB44" s="3317"/>
      <c r="AC44" s="3318"/>
    </row>
    <row r="45" spans="1:29" ht="12" customHeight="1">
      <c r="A45" s="3135" t="s">
        <v>441</v>
      </c>
      <c r="B45" s="3136"/>
      <c r="C45" s="1217">
        <f>IF(N2="",M79,N2)</f>
        <v>4</v>
      </c>
      <c r="D45" s="3170" t="s">
        <v>1040</v>
      </c>
      <c r="E45" s="3171"/>
      <c r="F45" s="3172"/>
      <c r="G45" s="1218"/>
      <c r="H45" s="1219" t="s">
        <v>1109</v>
      </c>
      <c r="I45" s="1220"/>
      <c r="J45" s="3168" t="str">
        <f>IF(J44="","","Roof support capacity ≈")</f>
        <v>Roof support capacity ≈</v>
      </c>
      <c r="K45" s="3169"/>
      <c r="L45" s="1221" t="str">
        <f>IF(J45="","",IF(P40="",N144,N145))</f>
        <v/>
      </c>
      <c r="M45" s="3310" t="str">
        <f>IF(AND(M27&lt;&gt;"e",M27&lt;&gt;"f",M27&lt;&gt;"g"),"",IF(E87&lt;80," Bursting takes mainly place in slightly jointed, brittle rock (see cell N11)",IF(AND(M9="a",F118&gt;80),"",IF(N10&lt;80,"  Rock bursting takes place in brittle, hard rock",""))))</f>
        <v/>
      </c>
      <c r="N45" s="3311"/>
      <c r="O45" s="1222"/>
      <c r="P45" s="1223"/>
      <c r="Q45" s="1224"/>
      <c r="R45" s="1225"/>
      <c r="AC45" s="912"/>
    </row>
    <row r="46" spans="1:29" ht="11.25" customHeight="1">
      <c r="A46" s="3137" t="s">
        <v>1039</v>
      </c>
      <c r="B46" s="3138"/>
      <c r="C46" s="3139"/>
      <c r="D46" s="1226"/>
      <c r="E46" s="1227" t="str">
        <f>IF(C44=10,"","(Actual tunnel span is")</f>
        <v>(Actual tunnel span is</v>
      </c>
      <c r="F46" s="1228">
        <f>IF(OR(C44&lt;10,C44&gt;10),C44,"")</f>
        <v>12</v>
      </c>
      <c r="G46" s="1229" t="s">
        <v>674</v>
      </c>
      <c r="H46" s="460">
        <v>1</v>
      </c>
      <c r="I46" s="1230"/>
      <c r="J46" s="1231" t="s">
        <v>673</v>
      </c>
      <c r="K46" s="461" t="s">
        <v>160</v>
      </c>
      <c r="L46" s="1232" t="s">
        <v>1110</v>
      </c>
      <c r="M46" s="3312"/>
      <c r="N46" s="3311"/>
      <c r="O46" s="1222"/>
      <c r="Q46" s="1233" t="s">
        <v>919</v>
      </c>
      <c r="R46" s="1234"/>
      <c r="T46" s="826"/>
      <c r="U46" s="1235" t="s">
        <v>484</v>
      </c>
      <c r="AC46" s="912"/>
    </row>
    <row r="47" spans="1:29" ht="11.25" customHeight="1">
      <c r="A47" s="3140"/>
      <c r="B47" s="3141"/>
      <c r="C47" s="3142"/>
      <c r="D47" s="3146" t="str">
        <f>IF(P40&lt;&gt;"","?",IF(OR(M27="a",M27="b",M27="c",M27="d",M27=""),"of jointed rock",""))</f>
        <v>of jointed rock</v>
      </c>
      <c r="E47" s="3147"/>
      <c r="F47" s="3148"/>
      <c r="G47" s="3116" t="str">
        <f>IF(AND(M11&lt;&gt;"",M28&lt;&gt;"",P40&lt;&gt;""),"of weakness zone*)",IF(AND(P40&lt;&gt;"",M28&lt;&gt;""),"of weakness zone",IF(AND(M11="",M28&lt;&gt;"",P40=""),"?",IF(OR(M27="a",M27="b",M27="c",M27="d",M27=""),"of jointed rockmass",IF(OR(M27="e",M27="f",M27="g"),"of rock bursting",IF(OR(M27="h",M27="i"),"of squeezing",""))))))</f>
        <v>of jointed rockmass</v>
      </c>
      <c r="H47" s="3117"/>
      <c r="I47" s="3118"/>
      <c r="J47" s="3109" t="str">
        <f>IF(J44="","",IF(AND(M11&lt;&gt;"",M28&lt;&gt;"",P40&lt;&gt;""),"of weakness zone*)",IF(AND(P40&lt;&gt;"",M28&lt;&gt;""),"of weakness zone",IF(AND(M11="",M28&lt;&gt;"",P40=""),"?",IF(AND(M11&lt;&gt;"",P40=""),"of jointed rockmass","of jointed rockmass")))))</f>
        <v>of jointed rockmass</v>
      </c>
      <c r="K47" s="3110"/>
      <c r="L47" s="3111"/>
      <c r="M47" s="3306" t="str">
        <f>IF(OR(M27="e",M27="f",M27="g"),"of rock bursting","")</f>
        <v/>
      </c>
      <c r="N47" s="3307"/>
      <c r="O47" s="1236"/>
      <c r="Q47" s="1237" t="s">
        <v>525</v>
      </c>
      <c r="R47" s="1238"/>
      <c r="S47" s="1238"/>
      <c r="T47" s="1239"/>
      <c r="U47" s="1240" t="s">
        <v>536</v>
      </c>
      <c r="W47" s="1241" t="s">
        <v>510</v>
      </c>
      <c r="X47" s="1242"/>
      <c r="Y47" s="1243"/>
      <c r="Z47" s="1243"/>
      <c r="AA47" s="1243"/>
      <c r="AB47" s="1243"/>
      <c r="AC47" s="843"/>
    </row>
    <row r="48" spans="1:29" ht="9.6" customHeight="1">
      <c r="A48" s="3140"/>
      <c r="B48" s="3141"/>
      <c r="C48" s="3142"/>
      <c r="D48" s="3098" t="s">
        <v>428</v>
      </c>
      <c r="E48" s="3099"/>
      <c r="F48" s="3100"/>
      <c r="G48" s="1218"/>
      <c r="H48" s="1244" t="s">
        <v>593</v>
      </c>
      <c r="I48" s="1245" t="str">
        <f>IF(AND(M11="",M28=""),"",IF(AND(P40="",M28&lt;&gt;""),"       see check box",IF(AND(M11&lt;&gt;"",M28&lt;&gt;"",P40&lt;&gt;""),"      see check box",IF(AND(M11&lt;&gt;"",P40&lt;&gt;""),"      clear check box",IF(Q41&lt;&gt;"","      see check box","")))))</f>
        <v/>
      </c>
      <c r="J48" s="1246"/>
      <c r="K48" s="1247" t="str">
        <f>IF(OR(J44="",J44="-"),"","  in ROOF")</f>
        <v xml:space="preserve">  in ROOF</v>
      </c>
      <c r="L48" s="1248"/>
      <c r="M48" s="1249" t="str">
        <f>IF(P41="","","← COMPARE SUPPORT →  ")</f>
        <v/>
      </c>
      <c r="N48" s="1250" t="str">
        <f>IF(M44="","","in ROOF")</f>
        <v/>
      </c>
      <c r="O48" s="1251"/>
      <c r="P48" s="1169"/>
      <c r="Q48" s="1252" t="s">
        <v>526</v>
      </c>
      <c r="R48" s="1253"/>
      <c r="S48" s="63" t="s">
        <v>486</v>
      </c>
      <c r="T48" s="1254"/>
      <c r="U48" s="1255">
        <v>2.6</v>
      </c>
      <c r="W48" s="1256" t="s">
        <v>489</v>
      </c>
      <c r="X48" s="61"/>
      <c r="Y48" s="61"/>
      <c r="Z48" s="61"/>
      <c r="AC48" s="1257"/>
    </row>
    <row r="49" spans="1:29" ht="9.9499999999999993" customHeight="1">
      <c r="A49" s="3143"/>
      <c r="B49" s="3144"/>
      <c r="C49" s="3145"/>
      <c r="D49" s="3095" t="str">
        <f>IF(AND(D70="",D72="",D74=""),"","See limitations")</f>
        <v/>
      </c>
      <c r="E49" s="3096"/>
      <c r="F49" s="3097"/>
      <c r="G49" s="1258"/>
      <c r="H49" s="1259" t="str">
        <f>IF(AND(G70="",G71="",G73=""),"",IF(G47="","","See limitations"))</f>
        <v/>
      </c>
      <c r="I49" s="1260"/>
      <c r="J49" s="1261"/>
      <c r="K49" s="1262" t="str">
        <f>IF(OR(J70&lt;&gt;"",J72&lt;&gt;"",J74&lt;&gt;""),"    See limitations","")</f>
        <v/>
      </c>
      <c r="L49" s="1263"/>
      <c r="M49" s="1264"/>
      <c r="N49" s="1265" t="str">
        <f>IF(N48="","",IF(AND(M70="",M72="",M74=""),"","See limitations"))</f>
        <v/>
      </c>
      <c r="O49" s="1266"/>
      <c r="P49" s="1267"/>
      <c r="Q49" s="1268"/>
      <c r="R49" s="1269"/>
      <c r="S49" s="63" t="s">
        <v>485</v>
      </c>
      <c r="T49" s="1254"/>
      <c r="U49" s="1255">
        <v>2.2999999999999998</v>
      </c>
      <c r="W49" s="1270" t="s">
        <v>701</v>
      </c>
      <c r="X49" s="61"/>
      <c r="Y49" s="61"/>
      <c r="Z49" s="61"/>
      <c r="AC49" s="1257"/>
    </row>
    <row r="50" spans="1:29" ht="10.15" customHeight="1">
      <c r="A50" s="3015" t="s">
        <v>592</v>
      </c>
      <c r="B50" s="3016"/>
      <c r="C50" s="3017"/>
      <c r="D50" s="1274"/>
      <c r="E50" s="1275"/>
      <c r="F50" s="1276"/>
      <c r="G50" s="1277"/>
      <c r="H50" s="1278"/>
      <c r="I50" s="1279"/>
      <c r="J50" s="3071" t="e">
        <f>IF(J44="","",IF(L135&gt;7*L131^(0.27*L131^-0.1),"",IF(L135&lt;1.5*SQRT(L131),"Spot bolting",IF(L135&lt;3*SQRT(L131),"Bolts spaced 2 - 3 m",IF(L135&lt;8*SQRT(L131),"Bolts spaced 1.5 - 2 m","-")))))</f>
        <v>#VALUE!</v>
      </c>
      <c r="K50" s="3072"/>
      <c r="L50" s="3073"/>
      <c r="M50" s="2934" t="str">
        <f>IF(N48="","",IF(OR(M27="h",M27="i"),"",IF(M27="g","Bolts spaced 1 - 1.75 m",IF(M27="f","Bolts spaced 1.75 - 2.5 m",IF(M27="e","Bolts spaced 2 - 3 m","")))))</f>
        <v/>
      </c>
      <c r="N50" s="2935"/>
      <c r="O50" s="1280"/>
      <c r="P50" s="1281"/>
      <c r="Q50" s="1282" t="s">
        <v>527</v>
      </c>
      <c r="R50" s="1283"/>
      <c r="S50" s="1283"/>
      <c r="T50" s="1254"/>
      <c r="U50" s="1255">
        <v>1.6</v>
      </c>
      <c r="W50" s="1284" t="s">
        <v>548</v>
      </c>
      <c r="AC50" s="899"/>
    </row>
    <row r="51" spans="1:29" ht="10.15" customHeight="1">
      <c r="A51" s="2997"/>
      <c r="B51" s="2998"/>
      <c r="C51" s="2999"/>
      <c r="D51" s="2926" t="str">
        <f>IF(OR(M100="",P40&lt;&gt;"",D42&lt;&gt;"",M27="h",M27="i"),"",IF(M100&gt;80,'RMR support'!D6,IF(M100&gt;60,'RMR support'!D8,IF(M100&gt;40,'RMR support'!D11,IF(M100&gt;20,'RMR support'!D15,'RMR support'!D19)))))</f>
        <v/>
      </c>
      <c r="E51" s="2927"/>
      <c r="F51" s="2928"/>
      <c r="G51" s="3031" t="e">
        <f>IF(OR(H108&lt;=2.34*E103^0.37,H108&lt;=1.35*E103^0.85,H108&gt;=46*E103^0.18,E103&gt;=40),"",IF(E103&gt;6,"Bolts spaced 2.3 m",IF(E103&gt;2,"Bolts spaced 2.1 m",IF(E103&gt;0.6,"Bolts spaced 1.7 m",IF(E103&gt;0.2,"Bolts spaced 1.5 m",IF(E103&gt;0.06,"Bolts spaced 1.3 m",IF(E103&gt;0.02,"Bolts spaced 1.2 m",IF(E103&gt;0.006,"Bolts spaced 1 m","Bolts spaced &lt; 1 m"))))))))</f>
        <v>#VALUE!</v>
      </c>
      <c r="H51" s="3032"/>
      <c r="I51" s="3033"/>
      <c r="J51" s="3106" t="e">
        <f>IF(J44="","",IF(L135&lt;7*L131^(0.27*L131^-0.1),"",IF(L135&lt;1.5*SQRT(L131),"Spot bolting",IF(L135&lt;4*SQRT(L131),"Bolts spaced 2 - 3 m",IF(L135&lt;15*SQRT(L131),"Bolts spaced 1.5 - 2 m",IF(L135&lt;35*SQRT(L131),"Bolts spaced 1.25 - 1.5 m",IF(L135&lt;250*SQRT(L131),"Bolts spaced 1 - 1.25 m","Special bolting")))))))</f>
        <v>#VALUE!</v>
      </c>
      <c r="K51" s="3107"/>
      <c r="L51" s="3108"/>
      <c r="M51" s="3054" t="str">
        <f>IF(M44="","",IF(OR(M27="h",M27="i"),"","(use end-anchored bolts)"))</f>
        <v/>
      </c>
      <c r="N51" s="3055"/>
      <c r="O51" s="1287"/>
      <c r="P51" s="1288"/>
      <c r="Q51" s="1282" t="s">
        <v>528</v>
      </c>
      <c r="R51" s="1283"/>
      <c r="S51" s="1283"/>
      <c r="T51" s="1254"/>
      <c r="U51" s="1255">
        <v>1.3</v>
      </c>
      <c r="W51" s="1284" t="s">
        <v>549</v>
      </c>
      <c r="X51" s="1289"/>
      <c r="Y51" s="1289"/>
      <c r="Z51" s="1289"/>
      <c r="AC51" s="912"/>
    </row>
    <row r="52" spans="1:29" ht="10.15" customHeight="1">
      <c r="A52" s="2997"/>
      <c r="B52" s="2998"/>
      <c r="C52" s="2999"/>
      <c r="D52" s="2968" t="str">
        <f>IF(OR(M100="",P40&lt;&gt;"",D42&lt;&gt;"",M27="h",M27="i"),"",IF(M100&gt;80,'RMR support'!D7,IF(M100&gt;60,'RMR support'!D9,IF(M100&gt;40,'RMR support'!D12,IF(M100&gt;20,'RMR support'!D16,'RMR support'!D20)))))</f>
        <v/>
      </c>
      <c r="E52" s="2969"/>
      <c r="F52" s="2970"/>
      <c r="G52" s="3031" t="e">
        <f>IF(OR(H108&gt;63*E103^0.06,H108&gt;46*E103^0.18),"",IF(AND(H108&gt;2.3*E103^0.4,H108&gt;1.35*E103^0.85,E103&lt;40),"",IF(OR(H108&lt;=0.65*E103^0.9,H108&lt;=2.3*E103^0.4,E103&gt;100),"Spot bolting",IF(E103&gt;60,"Bolts spaced 4 m",IF(E103&gt;20,"Bolts spaced 3 m",IF(E103&gt;6,"Bolts spaced 2 m",IF(E103&gt;2,"Bolts spaced 1.6 m","??")))))))</f>
        <v>#VALUE!</v>
      </c>
      <c r="H52" s="3032"/>
      <c r="I52" s="3033"/>
      <c r="J52" s="1290" t="str">
        <f>IF(J44="","",IF(K46="A","",IF(K46="B",T62,IF(K46="C",T65,""))))</f>
        <v/>
      </c>
      <c r="K52" s="1291" t="str">
        <f>IF(J52="","","max. spacing is required")</f>
        <v/>
      </c>
      <c r="L52" s="1292"/>
      <c r="M52" s="1293" t="str">
        <f>IF(M44="","",IF(OR(M27="h",M27="i"),"",IF(K46="A","",IF(K46="B",T62,IF(K46="C",T65,"")))))</f>
        <v/>
      </c>
      <c r="N52" s="1294" t="str">
        <f>IF(M52="","","max. spacing is required")</f>
        <v/>
      </c>
      <c r="O52" s="1295"/>
      <c r="Q52" s="1282" t="s">
        <v>529</v>
      </c>
      <c r="R52" s="1283"/>
      <c r="S52" s="1283"/>
      <c r="T52" s="1254"/>
      <c r="U52" s="1296" t="s">
        <v>1045</v>
      </c>
      <c r="W52" s="1256" t="s">
        <v>511</v>
      </c>
      <c r="AC52" s="912"/>
    </row>
    <row r="53" spans="1:29" ht="10.15" customHeight="1">
      <c r="A53" s="3018"/>
      <c r="B53" s="3019"/>
      <c r="C53" s="3020"/>
      <c r="D53" s="2823" t="str">
        <f>IF(OR(M100="",P40&lt;&gt;"",D42&lt;&gt;"",M27="h",M27="i"),"",IF(M100&gt;60,'RMR support'!D10,IF(M100&gt;40,'RMR support'!D13,IF(M100&gt;20,'RMR support'!D17,'RMR support'!D21))))</f>
        <v/>
      </c>
      <c r="E53" s="2824"/>
      <c r="F53" s="2825"/>
      <c r="G53" s="1297"/>
      <c r="H53" s="1298" t="e">
        <f>IF(AND(G52="",G51=""),"","Bolt length =")</f>
        <v>#VALUE!</v>
      </c>
      <c r="I53" s="1299" t="e">
        <f>IF(H53="","",1.3+C44/5.26)</f>
        <v>#VALUE!</v>
      </c>
      <c r="J53" s="1300"/>
      <c r="K53" s="1301" t="str">
        <f>IF(J44="","","Bolt length =")</f>
        <v>Bolt length =</v>
      </c>
      <c r="L53" s="1302" t="str">
        <f>IF(J44="","",IF(AND(M11&lt;&gt;"",M28&lt;&gt;"",P40&lt;&gt;""),1.3+0.17*C44+C44/10/(5.6*H139)^0.9,IF(AND(M11&lt;&gt;"",M28&lt;&gt;""),1.3+0.17*C44+C44/10/(5.6*F131)^0.9,IF(M11&lt;&gt;"",1.3+0.17*C44+C44/10/(5.6*F131)^0.9,IF(M28&lt;&gt;"",1.3+0.17*C44+C44/10/(5.6*H139)^0.9,"?")))))</f>
        <v>?</v>
      </c>
      <c r="M53" s="1303" t="str">
        <f>IF(N53="","",1.3+0.17*H108+H108/10/(5.6*F131)^0.9)</f>
        <v/>
      </c>
      <c r="N53" s="1304" t="str">
        <f>IF(M44="","",IF(OR(M27="h",M27="i"),"","bolt length"))</f>
        <v/>
      </c>
      <c r="O53" s="1305"/>
      <c r="Q53" s="1282" t="s">
        <v>530</v>
      </c>
      <c r="R53" s="1283"/>
      <c r="S53" s="1306"/>
      <c r="T53" s="1254"/>
      <c r="U53" s="1255">
        <v>0.8</v>
      </c>
      <c r="W53" s="1284" t="s">
        <v>550</v>
      </c>
      <c r="AC53" s="912"/>
    </row>
    <row r="54" spans="1:29" ht="10.15" customHeight="1">
      <c r="A54" s="2997" t="s">
        <v>602</v>
      </c>
      <c r="B54" s="2998"/>
      <c r="C54" s="2999"/>
      <c r="D54" s="2971" t="str">
        <f>IF(OR(M100="",P40&lt;&gt;"",D42&lt;&gt;"",M27="h",M27="i"),"",IF(M100&gt;60,'RMR support'!F9,IF(M100&gt;40,'RMR support'!F12,IF(M100&gt;20,'RMR support'!F16,'RMR support'!F20))))</f>
        <v/>
      </c>
      <c r="E54" s="2972"/>
      <c r="F54" s="2973"/>
      <c r="G54" s="2853" t="e">
        <f>IF(OR(H108&lt;2.3*E103^0.4,H108&gt;46*E103^0.18,H108&lt;0.08*E103^1.35,E103&gt;40),"",IF(H108&lt;=3.54*E103^0.79,"50 - 60 mm thick",IF(H108&lt;=7.8*E103^0.69,"60 - 80 mm thick",IF(H108&lt;=13.6*E103^0.67,"80 - 100 mm thick",IF(H108&lt;=23*E103^0.63,"100 - 120 mm thick",IF(H108&lt;=43*E103^0.6,"120 - 150 mm thick",IF(H108&lt;=58*E103^0.4,"150 - 250 mm thick","special shotcrete")))))))</f>
        <v>#VALUE!</v>
      </c>
      <c r="H54" s="2854"/>
      <c r="I54" s="2855"/>
      <c r="J54" s="3265" t="e">
        <f>IF(J44="","",IF(L135&lt;7*L131^(0.27*L131^-0.1),"",IF(L135&lt;9*L131^0.38,"40 - 50 mm thick",IF(L135&lt;13*L131^0.47,"50 - 60 mm thick",IF(L135&lt;17*L131^0.5,"60 - 75 mm thick",IF(L135&lt;30*L131^0.5,"75 - 100 mm thick",IF(L135&lt;60*L131^0.5,"100 - 150 mm thick",IF(L135&lt;160*L131^0.5,"150 - 250 mm thick","Special shotcrete and/or lining design"))))))))</f>
        <v>#VALUE!</v>
      </c>
      <c r="K54" s="3266"/>
      <c r="L54" s="3267"/>
      <c r="M54" s="2934" t="str">
        <f>IF(N48="","",IF(OR(M27="h",M27="i"),"",IF(M27="e","50 - 75 mm thick",IF(M27="f","75 - 150 mm thick",IF(M27="g","150 - 200 mm thick","")))))</f>
        <v/>
      </c>
      <c r="N54" s="2935"/>
      <c r="O54" s="1280"/>
      <c r="P54" s="1281"/>
      <c r="Q54" s="1307" t="s">
        <v>531</v>
      </c>
      <c r="R54" s="1308"/>
      <c r="S54" s="1309"/>
      <c r="T54" s="1310"/>
      <c r="U54" s="1311">
        <v>0.5</v>
      </c>
      <c r="V54" s="1312"/>
      <c r="W54" s="1284" t="s">
        <v>551</v>
      </c>
      <c r="AC54" s="912"/>
    </row>
    <row r="55" spans="1:29" ht="10.15" customHeight="1">
      <c r="A55" s="2997"/>
      <c r="B55" s="2998"/>
      <c r="C55" s="2999"/>
      <c r="D55" s="2968" t="str">
        <f>IF(OR(M100="",P40&lt;&gt;"",D42&lt;&gt;"",M27="h",M27="i"),"",IF(M100&gt;80,"",IF(M100&gt;60,"",IF(M100&gt;40,"",IF(M100&gt;20,"",'RMR support'!F22)))))</f>
        <v/>
      </c>
      <c r="E55" s="2969"/>
      <c r="F55" s="2970"/>
      <c r="G55" s="1277"/>
      <c r="H55" s="1278"/>
      <c r="I55" s="1279"/>
      <c r="J55" s="1313" t="str">
        <f>IF(J44="","",IF(K46="A","",IF(K46="B",T61,IF(K46="C",T64,""))))</f>
        <v/>
      </c>
      <c r="K55" s="1314" t="str">
        <f>IF(J55="","","min. thickness is required")</f>
        <v/>
      </c>
      <c r="L55" s="1315"/>
      <c r="M55" s="1316" t="str">
        <f>IF(M44="","",IF(OR(M27="h",M27="i"),"",IF(K46="A","",IF(K46="B",T61,IF(K46="C",T64,"")))))</f>
        <v/>
      </c>
      <c r="N55" s="1294" t="str">
        <f>IF(M55="","","min. thickness is required")</f>
        <v/>
      </c>
      <c r="O55" s="1295"/>
      <c r="Q55" s="1317" t="s">
        <v>846</v>
      </c>
      <c r="T55" s="826"/>
      <c r="U55" s="1243"/>
      <c r="W55" s="1284" t="s">
        <v>552</v>
      </c>
      <c r="AC55" s="912"/>
    </row>
    <row r="56" spans="1:29" ht="10.15" customHeight="1">
      <c r="A56" s="2997"/>
      <c r="B56" s="2998"/>
      <c r="C56" s="2999"/>
      <c r="D56" s="2823"/>
      <c r="E56" s="2824"/>
      <c r="F56" s="2825"/>
      <c r="G56" s="3330" t="e">
        <f>IF(AND(H108&gt;3.54*E103^0.79,H108&lt;46*E103^0.18),"(use fibre reinforcement)","")</f>
        <v>#VALUE!</v>
      </c>
      <c r="H56" s="3331"/>
      <c r="I56" s="3332"/>
      <c r="J56" s="3333" t="e">
        <f>IF(J44="","",IF(OR(J54="",J54="special shotcrete"),"",IF(L135&lt;10*L131^(0.27*L131^-0.1),"",IF(L135&gt;L131^1.35,"(use fibre reinforcement)",""))))</f>
        <v>#VALUE!</v>
      </c>
      <c r="K56" s="3334"/>
      <c r="L56" s="3335"/>
      <c r="M56" s="2891" t="str">
        <f>IF(M54="","",IF(OR(M27="h",M27="i"),"","(use fibre reinforcement)"))</f>
        <v/>
      </c>
      <c r="N56" s="2892"/>
      <c r="O56" s="1287"/>
      <c r="P56" s="1288"/>
      <c r="Q56" s="1318"/>
      <c r="R56" s="1319"/>
      <c r="W56" s="1284" t="s">
        <v>847</v>
      </c>
      <c r="AC56" s="912"/>
    </row>
    <row r="57" spans="1:29" ht="10.15" customHeight="1">
      <c r="A57" s="3087"/>
      <c r="B57" s="3088"/>
      <c r="C57" s="1320"/>
      <c r="D57" s="2856" t="s">
        <v>863</v>
      </c>
      <c r="E57" s="2857"/>
      <c r="F57" s="2858"/>
      <c r="G57" s="3092" t="s">
        <v>863</v>
      </c>
      <c r="H57" s="3093"/>
      <c r="I57" s="3094"/>
      <c r="J57" s="3034" t="str">
        <f>IF(OR(J44="",J44="-"),"","WALL support")</f>
        <v>WALL support</v>
      </c>
      <c r="K57" s="3035"/>
      <c r="L57" s="3036"/>
      <c r="M57" s="2787" t="str">
        <f>IF(M44="","","support")</f>
        <v/>
      </c>
      <c r="N57" s="2788"/>
      <c r="O57" s="1321"/>
      <c r="P57" s="1322"/>
      <c r="Q57" s="1323" t="s">
        <v>918</v>
      </c>
      <c r="R57" s="917"/>
      <c r="S57" s="917"/>
      <c r="T57" s="917"/>
      <c r="U57" s="1324"/>
      <c r="W57" s="1284" t="s">
        <v>615</v>
      </c>
      <c r="AC57" s="912"/>
    </row>
    <row r="58" spans="1:29" ht="10.15" customHeight="1">
      <c r="A58" s="3015" t="s">
        <v>592</v>
      </c>
      <c r="B58" s="3016"/>
      <c r="C58" s="3017"/>
      <c r="D58" s="2971" t="str">
        <f>IF(OR(M100="",P40&lt;&gt;"",D42&lt;&gt;"",M27="h",M27="i"),"",IF(M100&gt;80,'RMR support'!D6,IF(M100&gt;60,"",IF(M100&gt;40,'RMR support'!D11,IF(M100&gt;20,'RMR support'!D15,'RMR support'!D19)))))</f>
        <v/>
      </c>
      <c r="E58" s="2972"/>
      <c r="F58" s="2973"/>
      <c r="G58" s="2853" t="e">
        <f>IF(OR(H109&lt;=2.34*E106^0.37,H109&lt;=1.35*E106^0.85,H109&gt;=46*E106^0.18,E106&gt;=40),"",IF(E106&gt;6,"Bolts spaced 2.3 m",IF(E106&gt;2,"Bolts spaced 2.1 m",IF(E106&gt;0.6,"Bolts spaced 1.7 m",IF(E106&gt;0.2,"Bolts spaced 1.5m",IF(E106&gt;0.06,"Bolts spaced 1.3 m",IF(E106&gt;0.02,"Bolts spaced 1.2 m",IF(E106&gt;0.006,"Bolts spaced 1 m","Bolts spaced &lt; 1 m"))))))))</f>
        <v>#VALUE!</v>
      </c>
      <c r="H58" s="2854"/>
      <c r="I58" s="2855"/>
      <c r="J58" s="3071" t="e">
        <f>IF(J44="","",IF(L137&gt;7*L133^(0.27*L133^-0.1),"",IF(L137&lt;1.5*SQRT(L133),"Spot bolting",IF(L137&lt;3*SQRT(L133),"Bolts spaced 2 - 3 m",IF(L137&lt;8*SQRT(L133),"Bolts spaced 1.5 - 2 m","-")))))</f>
        <v>#VALUE!</v>
      </c>
      <c r="K58" s="3072"/>
      <c r="L58" s="3073"/>
      <c r="M58" s="2934" t="str">
        <f>IF(N48="","",IF(OR(M27="h",M27="i"),"",IF(M27="g","Bolts spaced 1 - 1.75 m",IF(M27="f","Bolts spaced 1.75 - 2.5 m",IF(M27="e","Bolts spaced 2 - 3 m","")))))</f>
        <v/>
      </c>
      <c r="N58" s="2935"/>
      <c r="O58" s="1280"/>
      <c r="P58" s="1325"/>
      <c r="Q58" s="1326" t="s">
        <v>709</v>
      </c>
      <c r="R58" s="826"/>
      <c r="S58" s="826"/>
      <c r="T58" s="1327"/>
      <c r="U58" s="3294" t="s">
        <v>160</v>
      </c>
      <c r="W58" s="1270" t="s">
        <v>490</v>
      </c>
      <c r="X58" s="61"/>
      <c r="Y58" s="61"/>
      <c r="Z58" s="61"/>
      <c r="AC58" s="1257"/>
    </row>
    <row r="59" spans="1:29" ht="10.15" customHeight="1">
      <c r="A59" s="2997"/>
      <c r="B59" s="2998"/>
      <c r="C59" s="2999"/>
      <c r="D59" s="2968" t="str">
        <f>IF(OR(M100="",P40&lt;&gt;"",D42&lt;&gt;"",M27="h",M27="i"),"",IF(M100&gt;80,'RMR support'!D7,IF(M100&gt;60,"",IF(M100&gt;40,'RMR support'!D12,IF(M100&gt;20,'RMR support'!D16,'RMR support'!D20)))))</f>
        <v/>
      </c>
      <c r="E59" s="2969"/>
      <c r="F59" s="2970"/>
      <c r="G59" s="3089" t="e">
        <f>IF(OR(H109&gt;63*E106^0.06,H109&gt;46*E106^0.18),"",IF(AND(H109&gt;2.3*E106^0.4,H109&gt;1.35*E106^0.85,E106&lt;40),"",IF(OR(H109&lt;=0.65*E106^0.9,H109&lt;=2.3*E103^0.4,E106&gt;100),"Spot bolting",IF(E106&gt;60,"Bolts spaced 4 m",IF(E106&gt;20,"Bolts spaced 3 m",IF(E106&gt;6,"Bolts spaced 2 m",IF(E106&gt;2,"Bolts spaced 1.6 m","??")))))))</f>
        <v>#VALUE!</v>
      </c>
      <c r="H59" s="3090"/>
      <c r="I59" s="3091"/>
      <c r="J59" s="3262" t="e">
        <f>IF(J44="","",IF(L137&lt;7*L133^(0.27*L133^-0.1),"",IF(L137&lt;1.5*SQRT(L133),"Spot bolting",IF(L137&lt;4*SQRT(L133),"Bolts spaced 2 - 3 m",IF(L137&lt;15*SQRT(L133),"Bolts spaced 1.5 - 2 m",IF(L137&lt;35*SQRT(L133),"Bolts spaced 1.25 - 1.5 m",IF(L137&lt;200*SQRT(L133),"Bolts spaced 1 - 1.25 m","Special bolting")))))))</f>
        <v>#VALUE!</v>
      </c>
      <c r="K59" s="3263"/>
      <c r="L59" s="3264"/>
      <c r="M59" s="3054" t="str">
        <f>IF(M44="","",IF(OR(M27="h",M27="i"),"","(use end-anchored bolts)"))</f>
        <v/>
      </c>
      <c r="N59" s="3055"/>
      <c r="O59" s="1287"/>
      <c r="P59" s="1288"/>
      <c r="Q59" s="1328"/>
      <c r="R59" s="1329"/>
      <c r="S59" s="1330" t="s">
        <v>547</v>
      </c>
      <c r="T59" s="1331"/>
      <c r="U59" s="3295"/>
      <c r="W59" s="1270" t="s">
        <v>616</v>
      </c>
      <c r="X59" s="1289"/>
      <c r="Y59" s="1289"/>
      <c r="Z59" s="1289"/>
      <c r="AC59" s="899"/>
    </row>
    <row r="60" spans="1:29" ht="10.5" customHeight="1">
      <c r="A60" s="3018"/>
      <c r="B60" s="3019"/>
      <c r="C60" s="3020"/>
      <c r="D60" s="2823" t="str">
        <f>IF(OR(M100="",P40&lt;&gt;"",D42&lt;&gt;"",M27="h",M27="i"),"",IF(M100&gt;80,"",IF(M100&gt;60,"",IF(M100&gt;40,"",IF(M100&gt;20,'RMR support'!D17,'RMR support'!D21)))))</f>
        <v/>
      </c>
      <c r="E60" s="2824"/>
      <c r="F60" s="2825"/>
      <c r="G60" s="1332"/>
      <c r="H60" s="1333" t="e">
        <f>IF(AND(G52="",G51=""),"","Bolt length =")</f>
        <v>#VALUE!</v>
      </c>
      <c r="I60" s="1334" t="e">
        <f>IF(H60="","",1.4+((C44+C45)/4)/5.26)</f>
        <v>#VALUE!</v>
      </c>
      <c r="J60" s="1335"/>
      <c r="K60" s="1336" t="str">
        <f>IF(J44="","","Bolt length =")</f>
        <v>Bolt length =</v>
      </c>
      <c r="L60" s="1337" t="str">
        <f>IF(J44="","",IF(AND(M11&lt;&gt;"",M28&lt;&gt;"",P40&lt;&gt;""),1.3+0.085*(C44+0.5*C45)+(C44+0.5*C45)/20/(5.6*H139)^0.9,IF(AND(M11&lt;&gt;"",M28&lt;&gt;""),1.3+0.085*(C44+0.5*C45)+(C44+0.5*C45)/20/(5.6*F131)^0.9,IF(M11&lt;&gt;"",1.3+0.085*(C44+0.5*C45)+(C44+0.5*C45)/20/(5.6*F131)^0.9,IF(M28&lt;&gt;"",1.3+0.085*(C44+0.5*C45)+(C44+0.5*C45)/20/(5.6*H139)^0.9,"?")))))</f>
        <v>?</v>
      </c>
      <c r="M60" s="1303" t="str">
        <f>IF(N60="","",1.3+0.085*(H108+0.5*E109)+(H108+0.5*E109)/20/(5.6*F131)^0.9)</f>
        <v/>
      </c>
      <c r="N60" s="1338" t="str">
        <f>IF(M44="","",IF(OR(M27="h",M27="i"),"","bolt length"))</f>
        <v/>
      </c>
      <c r="O60" s="1305"/>
      <c r="Q60" s="1339" t="s">
        <v>708</v>
      </c>
      <c r="R60" s="826"/>
      <c r="S60" s="826"/>
      <c r="T60" s="1340"/>
      <c r="U60" s="3296" t="s">
        <v>161</v>
      </c>
      <c r="W60" s="1270" t="s">
        <v>617</v>
      </c>
      <c r="X60" s="61"/>
      <c r="Y60" s="61"/>
      <c r="Z60" s="61"/>
      <c r="AC60" s="1257"/>
    </row>
    <row r="61" spans="1:29" ht="10.15" customHeight="1">
      <c r="A61" s="3059" t="s">
        <v>603</v>
      </c>
      <c r="B61" s="3060"/>
      <c r="C61" s="3061"/>
      <c r="D61" s="2971" t="str">
        <f>IF(OR(M100="",P40&lt;&gt;"",D42&lt;&gt;"",M27="h",M27="i"),"",IF(M100&gt;80,"",IF(M100&gt;60,"",IF(M100&gt;40,'RMR support'!F13,IF(M100&gt;20,'RMR support'!F17,'RMR support'!F21)))))</f>
        <v/>
      </c>
      <c r="E61" s="2972"/>
      <c r="F61" s="2973"/>
      <c r="G61" s="2853" t="e">
        <f>IF(OR(H109&lt;2.3*E106^0.4,H109&gt;46*E106^0.18,H109&lt;0.08*E106^1.35,E106&gt;40),"",IF(H109&lt;=3.54*E106^0.79,"50 - 60 mm thick",IF(H109&lt;=7.8*E106^0.69,"60 - 80 mm thick",IF(H109&lt;=13.6*E106^0.67,"80 - 100 mm thick",IF(H109&lt;=23*E106^0.63,"100 - 120mm thick",IF(H109&lt;=43*E106^0.6,"120 - 150 mm thick",IF(H109&lt;=58*E106^0.4,"150 - 250 mm thick","special shotcrete")))))))</f>
        <v>#VALUE!</v>
      </c>
      <c r="H61" s="2854"/>
      <c r="I61" s="2855"/>
      <c r="J61" s="3071" t="e">
        <f>IF(J44="","",IF(L137&lt;7*L133^(0.27*L133^-0.1),"",IF(L137&lt;9*L133^0.38,"40 - 50 mm thick",IF(L137&lt;13*L133^0.47,"50 - 60 mm thick",IF(L137&lt;17*L133^0.5,"60 - 75 mm thick",IF(L137&lt;30*L133^0.5,"75 - 100 mm thick",IF(L137&lt;60*L133^0.5,"100 - 150 mm thick",IF(L137&lt;160*L133^0.5,"150 - 250 mm thick","Special shotcrete design"))))))))</f>
        <v>#VALUE!</v>
      </c>
      <c r="K61" s="3072"/>
      <c r="L61" s="3073"/>
      <c r="M61" s="2934" t="str">
        <f>IF(N48="","",IF(OR(M27="h",M27="i"),"",IF(M27="e","50 - 75 mm thick",IF(M27="f","75 - 150 mm thick ",IF(M27="g","150 - 200 mm thick","")))))</f>
        <v/>
      </c>
      <c r="N61" s="2935"/>
      <c r="O61" s="1280"/>
      <c r="P61" s="1325"/>
      <c r="Q61" s="1341"/>
      <c r="R61" s="1342"/>
      <c r="S61" s="1343" t="s">
        <v>535</v>
      </c>
      <c r="T61" s="467">
        <v>80</v>
      </c>
      <c r="U61" s="3297"/>
      <c r="W61" s="1256" t="s">
        <v>618</v>
      </c>
      <c r="X61" s="61"/>
      <c r="Y61" s="1344"/>
      <c r="Z61" s="1344"/>
      <c r="AC61" s="1257"/>
    </row>
    <row r="62" spans="1:29" ht="10.15" customHeight="1">
      <c r="A62" s="3062"/>
      <c r="B62" s="3063"/>
      <c r="C62" s="3064"/>
      <c r="D62" s="2968" t="str">
        <f>IF(OR(M100="",P40&lt;&gt;"",D42&lt;&gt;"",M27="h",M27="i"),"",IF(M100&gt;80,"",IF(M100&gt;60,"",IF(M100&gt;40,"",IF(M100&gt;20,"","")))))</f>
        <v/>
      </c>
      <c r="E62" s="2969"/>
      <c r="F62" s="2970"/>
      <c r="G62" s="1345"/>
      <c r="H62" s="1345"/>
      <c r="I62" s="1346"/>
      <c r="J62" s="3051" t="e">
        <f>IF(J44="","",IF(OR(J61="",J61="special shotcrete"),"",IF(L137&lt;10*L133^(0.27*L133^-0.1),"",IF(L137&gt;L133^1.35,"(use fibre reinforcement)",""))))</f>
        <v>#VALUE!</v>
      </c>
      <c r="K62" s="3052"/>
      <c r="L62" s="3053"/>
      <c r="M62" s="1347"/>
      <c r="N62" s="1348"/>
      <c r="O62" s="1280"/>
      <c r="P62" s="1325"/>
      <c r="Q62" s="1349"/>
      <c r="R62" s="1350"/>
      <c r="S62" s="1351" t="s">
        <v>488</v>
      </c>
      <c r="T62" s="468">
        <v>2</v>
      </c>
      <c r="U62" s="3295"/>
      <c r="W62" s="1270" t="s">
        <v>619</v>
      </c>
      <c r="X62" s="61"/>
      <c r="Y62" s="1344"/>
      <c r="Z62" s="1344"/>
      <c r="AC62" s="1257"/>
    </row>
    <row r="63" spans="1:29" ht="10.15" customHeight="1">
      <c r="A63" s="3065"/>
      <c r="B63" s="3066"/>
      <c r="C63" s="3067"/>
      <c r="D63" s="2823"/>
      <c r="E63" s="2824"/>
      <c r="F63" s="2825"/>
      <c r="G63" s="3028" t="e">
        <f>IF(AND(H109&gt;3.54*E106^0.79,H109&lt;46*E106^0.18),"(use fibre reinforcement)","")</f>
        <v>#VALUE!</v>
      </c>
      <c r="H63" s="3029"/>
      <c r="I63" s="3030"/>
      <c r="J63" s="3068"/>
      <c r="K63" s="3069"/>
      <c r="L63" s="3070"/>
      <c r="M63" s="2891" t="str">
        <f>IF(M61="","","(use fibre reinforcement)")</f>
        <v/>
      </c>
      <c r="N63" s="2892"/>
      <c r="O63" s="1287"/>
      <c r="P63" s="1288"/>
      <c r="Q63" s="1339" t="s">
        <v>710</v>
      </c>
      <c r="R63" s="826"/>
      <c r="S63" s="826"/>
      <c r="T63" s="1352"/>
      <c r="U63" s="3296" t="s">
        <v>162</v>
      </c>
      <c r="W63" s="1256" t="s">
        <v>620</v>
      </c>
      <c r="X63" s="61"/>
      <c r="Y63" s="1344"/>
      <c r="Z63" s="1344"/>
      <c r="AC63" s="1257"/>
    </row>
    <row r="64" spans="1:29" ht="10.15" customHeight="1">
      <c r="A64" s="1271"/>
      <c r="B64" s="1272"/>
      <c r="C64" s="1273"/>
      <c r="D64" s="2992" t="str">
        <f>IF(OR(M100="",P40&lt;&gt;"",D42&lt;&gt;"",M27="h",M27="i"),"",IF(M100&gt;80,"",IF(M100&gt;60,"",IF(M100&gt;40,"",IF(M100&gt;20,'RMR support'!H16,'RMR support'!H19)))))</f>
        <v/>
      </c>
      <c r="E64" s="2993"/>
      <c r="F64" s="2994"/>
      <c r="G64" s="2936" t="e">
        <f>IF(H108&gt;=46*E103^0.18,"",IF(H108&gt;=58*E103^0.4,"Concrete lining or",IF(H108&gt;=22*E103^0.67,"Reinforced ribs of shotcrete","")))</f>
        <v>#VALUE!</v>
      </c>
      <c r="H64" s="2937"/>
      <c r="I64" s="2938"/>
      <c r="J64" s="3275" t="e">
        <f>IF(J44="","",IF(L135&lt;160*SQRT(L131),"",IF(L135&lt;600*SQRT(L131),"Concrete lining, or",IF(AND(L135&gt;=600*SQRT(L131),L135&gt;1),"Shotcrete + concrete lining,","-"))))</f>
        <v>#VALUE!</v>
      </c>
      <c r="K64" s="3276"/>
      <c r="L64" s="3277"/>
      <c r="M64" s="2789" t="str">
        <f>IF(OR(M27="h",M27="i"),"Squeezing requires special"," ")</f>
        <v xml:space="preserve"> </v>
      </c>
      <c r="N64" s="2790"/>
      <c r="O64" s="1353"/>
      <c r="P64" s="1281"/>
      <c r="Q64" s="1341"/>
      <c r="R64" s="1342"/>
      <c r="S64" s="1343" t="s">
        <v>535</v>
      </c>
      <c r="T64" s="467">
        <v>150</v>
      </c>
      <c r="U64" s="3297"/>
      <c r="W64" s="1354" t="s">
        <v>621</v>
      </c>
      <c r="X64" s="1355"/>
      <c r="Y64" s="1356"/>
      <c r="Z64" s="1356"/>
      <c r="AA64" s="917"/>
      <c r="AB64" s="917"/>
      <c r="AC64" s="1357"/>
    </row>
    <row r="65" spans="1:29" ht="10.5" customHeight="1">
      <c r="A65" s="1285"/>
      <c r="B65" s="1286"/>
      <c r="C65" s="1358" t="s">
        <v>734</v>
      </c>
      <c r="D65" s="2992" t="str">
        <f>IF(OR(M100="",P40&lt;&gt;"",D42&lt;&gt;"",M27="h",M27="i"),"",IF(M100&gt;80,"",IF(M100&gt;60,"",IF(M100&gt;40,"",IF(M100&gt;20,'RMR support'!H17,'RMR support'!H20)))))</f>
        <v/>
      </c>
      <c r="E65" s="2993"/>
      <c r="F65" s="2994"/>
      <c r="G65" s="2923" t="e">
        <f>IF(H108&lt;22*E103^0.67,"",IF(H108&lt;=43*E103^0.6,"RRS I, c/c = 2.9 - 4.0 m",IF(H108&lt;=5*E103^0.5,"RRSII, c/c = 2.3 - 2.9 m",IF(H108&lt;58*E103^0.4,"RRS II, c/c = 1.7 - 2.3 m",IF(H108&lt;46*E103^0.18,"RRS III, c/c = 1.7 to 1.0 m","Special support evaluations needed")))))</f>
        <v>#VALUE!</v>
      </c>
      <c r="H65" s="2924"/>
      <c r="I65" s="2925"/>
      <c r="J65" s="3254" t="e">
        <f>IF(J44="","",IF(J64="","",IF(J64="Concrete lining, or","Special shotcrete solution",IF(J64="Shotcrete + concrete lining,","apply shotcrete quickly after blast",""))))</f>
        <v>#VALUE!</v>
      </c>
      <c r="K65" s="3255"/>
      <c r="L65" s="3256"/>
      <c r="M65" s="3273" t="str">
        <f>IF(OR(M27="h",M27="i"),"evaluations and support","")</f>
        <v/>
      </c>
      <c r="N65" s="3274"/>
      <c r="O65" s="1359"/>
      <c r="P65" s="1360"/>
      <c r="Q65" s="1361"/>
      <c r="R65" s="1362"/>
      <c r="S65" s="1351" t="s">
        <v>488</v>
      </c>
      <c r="T65" s="468">
        <v>1.5</v>
      </c>
      <c r="U65" s="3295"/>
      <c r="AC65" s="912"/>
    </row>
    <row r="66" spans="1:29" ht="9.9499999999999993" customHeight="1">
      <c r="A66" s="1285"/>
      <c r="B66" s="1286"/>
      <c r="C66" s="1363" t="s">
        <v>735</v>
      </c>
      <c r="D66" s="3012" t="str">
        <f>IF(OR(M100="",P40&lt;&gt;"",D42&lt;&gt;"",M27="h",M27="i"),"",IF(M100&gt;80,"",IF(M100&gt;60,"",IF(M100&gt;40,"",IF(M100&gt;20,"",'RMR support'!H21)))))</f>
        <v/>
      </c>
      <c r="E66" s="3013"/>
      <c r="F66" s="3014"/>
      <c r="G66" s="2024"/>
      <c r="H66" s="2027" t="e">
        <f>IF(G65="","","(RRS  = Reinforced Rib of Shotcrete)")</f>
        <v>#VALUE!</v>
      </c>
      <c r="I66" s="2028"/>
      <c r="J66" s="1367" t="e">
        <f>IF(J47="","",IF(J64="Shotcrete + concrete lining,"," Strengthen tunnel invert by reinforced concrete and rock bolts",""))</f>
        <v>#VALUE!</v>
      </c>
      <c r="K66" s="1368"/>
      <c r="L66" s="1369"/>
      <c r="M66" s="1370"/>
      <c r="N66" s="1371"/>
      <c r="O66" s="1372"/>
      <c r="P66" s="1373"/>
      <c r="Q66" s="1339" t="s">
        <v>711</v>
      </c>
      <c r="R66" s="826"/>
      <c r="S66" s="826"/>
      <c r="T66" s="1340"/>
      <c r="U66" s="3296" t="s">
        <v>163</v>
      </c>
      <c r="AC66" s="912"/>
    </row>
    <row r="67" spans="1:29" ht="9.6" customHeight="1">
      <c r="A67" s="1285"/>
      <c r="B67" s="1286"/>
      <c r="C67" s="1358" t="s">
        <v>696</v>
      </c>
      <c r="D67" s="1364"/>
      <c r="E67" s="1365"/>
      <c r="F67" s="1366"/>
      <c r="G67" s="2024"/>
      <c r="H67" s="2027"/>
      <c r="I67" s="2029" t="e">
        <f>IF(G65="","","see Table III on RRS →")</f>
        <v>#VALUE!</v>
      </c>
      <c r="J67" s="1367" t="e">
        <f>IF(J64="",""," Better use special tailored support solution ?")</f>
        <v>#VALUE!</v>
      </c>
      <c r="K67" s="1368"/>
      <c r="L67" s="1369"/>
      <c r="M67" s="1374"/>
      <c r="N67" s="1375"/>
      <c r="O67" s="1376"/>
      <c r="P67" s="1373"/>
      <c r="Q67" s="1377"/>
      <c r="R67" s="1108"/>
      <c r="S67" s="1108"/>
      <c r="T67" s="1378" t="s">
        <v>948</v>
      </c>
      <c r="U67" s="3298"/>
      <c r="AC67" s="912"/>
    </row>
    <row r="68" spans="1:29" ht="9.6" customHeight="1">
      <c r="A68" s="1379"/>
      <c r="B68" s="1380"/>
      <c r="C68" s="1381"/>
      <c r="D68" s="1382"/>
      <c r="E68" s="1383"/>
      <c r="F68" s="1384"/>
      <c r="G68" s="2024"/>
      <c r="H68" s="2030"/>
      <c r="I68" s="2031"/>
      <c r="J68" s="1385" t="str">
        <f>IF(L45="","",IF(L45&gt;N80," Suggest to use 'Support capacity' in the support design",""))</f>
        <v/>
      </c>
      <c r="K68" s="1386"/>
      <c r="L68" s="1387"/>
      <c r="M68" s="1388"/>
      <c r="N68" s="1389"/>
      <c r="O68" s="912"/>
      <c r="P68" s="1390"/>
      <c r="Q68" s="1391"/>
      <c r="T68" s="1392" t="s">
        <v>925</v>
      </c>
      <c r="U68" s="1243"/>
      <c r="AC68" s="912"/>
    </row>
    <row r="69" spans="1:29" ht="9.6" customHeight="1">
      <c r="A69" s="3065" t="s">
        <v>830</v>
      </c>
      <c r="B69" s="3066"/>
      <c r="C69" s="3067"/>
      <c r="D69" s="1382"/>
      <c r="E69" s="1383"/>
      <c r="F69" s="1384"/>
      <c r="G69" s="2024"/>
      <c r="H69" s="2030"/>
      <c r="I69" s="2031"/>
      <c r="J69" s="1393" t="str">
        <f>IF(AND(M11="",M28=""),"",IF(OR(M26="e",M26="f",M26="g")," Suggest draining and/or grouting the water inflow",IF(AND(M28&lt;&gt;"",P40=""),"",IF(OR(M36="e",M36="f",M36="g")," Suggest draining and/or grouting the water inflow",""))))</f>
        <v/>
      </c>
      <c r="K69" s="1394"/>
      <c r="L69" s="1395"/>
      <c r="M69" s="1396"/>
      <c r="N69" s="1397" t="str">
        <f>IF(AND(J44="",M44=""),"",IF(K46="D","Special designed extra support ?",""))</f>
        <v/>
      </c>
      <c r="O69" s="1398"/>
      <c r="P69" s="1390"/>
      <c r="Q69" s="1391"/>
      <c r="T69" s="1392"/>
      <c r="AC69" s="912"/>
    </row>
    <row r="70" spans="1:29" ht="9.6" customHeight="1">
      <c r="A70" s="2826" t="s">
        <v>591</v>
      </c>
      <c r="B70" s="2827"/>
      <c r="C70" s="2828"/>
      <c r="D70" s="3001" t="str">
        <f>IF(OR(K101="",P40=""),"",K101)</f>
        <v/>
      </c>
      <c r="E70" s="3002"/>
      <c r="F70" s="3003"/>
      <c r="G70" s="1399" t="str">
        <f>IF(OR(P40="",D110=""),"",D110)</f>
        <v/>
      </c>
      <c r="H70" s="1400"/>
      <c r="I70" s="1401"/>
      <c r="J70" s="3278" t="str">
        <f>IF(L138="","",L138)</f>
        <v/>
      </c>
      <c r="K70" s="3279"/>
      <c r="L70" s="3280"/>
      <c r="M70" s="3271" t="str">
        <f>IF(AND(M9="a",N10&gt;G80),"",IF(OR(M27="e",M27="f",M27="g"),"Rock bursting acts in overstressed, massive and slightly jointed rock",""))</f>
        <v/>
      </c>
      <c r="N70" s="3272"/>
      <c r="O70" s="1402"/>
      <c r="P70" s="1403"/>
      <c r="Q70" s="1404" t="s">
        <v>732</v>
      </c>
      <c r="R70" s="1405"/>
      <c r="S70" s="1405"/>
      <c r="T70" s="1405"/>
      <c r="U70" s="1406"/>
      <c r="AC70" s="912"/>
    </row>
    <row r="71" spans="1:29" ht="9.6" customHeight="1">
      <c r="A71" s="2829"/>
      <c r="B71" s="2830"/>
      <c r="C71" s="2831"/>
      <c r="D71" s="3004"/>
      <c r="E71" s="3005"/>
      <c r="F71" s="3006"/>
      <c r="G71" s="2850" t="str">
        <f>IF(D111="","",D111)</f>
        <v/>
      </c>
      <c r="H71" s="2851"/>
      <c r="I71" s="2852"/>
      <c r="J71" s="3281"/>
      <c r="K71" s="3282"/>
      <c r="L71" s="3283"/>
      <c r="M71" s="3021"/>
      <c r="N71" s="3022"/>
      <c r="O71" s="1402"/>
      <c r="P71" s="1403"/>
      <c r="Q71" s="1407"/>
      <c r="R71" s="1408"/>
      <c r="S71" s="1409" t="s">
        <v>522</v>
      </c>
      <c r="T71" s="1409"/>
      <c r="U71" s="1410"/>
      <c r="W71" s="1411"/>
      <c r="X71" s="1411"/>
      <c r="Y71" s="1412"/>
      <c r="AC71" s="912"/>
    </row>
    <row r="72" spans="1:29" ht="9.6" customHeight="1">
      <c r="A72" s="2829"/>
      <c r="B72" s="2830"/>
      <c r="C72" s="2831"/>
      <c r="D72" s="2965" t="str">
        <f>IF(D112="","",D112)</f>
        <v/>
      </c>
      <c r="E72" s="2966"/>
      <c r="F72" s="2967"/>
      <c r="G72" s="2850"/>
      <c r="H72" s="2851"/>
      <c r="I72" s="2852"/>
      <c r="J72" s="3257" t="str">
        <f>IF(L142="","",L142)</f>
        <v/>
      </c>
      <c r="K72" s="3258"/>
      <c r="L72" s="3259"/>
      <c r="M72" s="3021" t="str">
        <f>IF(L140="","",L140)</f>
        <v/>
      </c>
      <c r="N72" s="3022"/>
      <c r="O72" s="1402"/>
      <c r="P72" s="1403"/>
      <c r="Q72" s="1413"/>
      <c r="R72" s="1414" t="s">
        <v>512</v>
      </c>
      <c r="S72" s="1027" t="s">
        <v>689</v>
      </c>
      <c r="T72" s="1027"/>
      <c r="U72" s="1415"/>
      <c r="W72" s="1411"/>
      <c r="X72" s="1411"/>
      <c r="Y72" s="1412"/>
      <c r="AC72" s="912"/>
    </row>
    <row r="73" spans="1:29" ht="9.6" customHeight="1">
      <c r="A73" s="2829"/>
      <c r="B73" s="2830"/>
      <c r="C73" s="2831"/>
      <c r="D73" s="2965"/>
      <c r="E73" s="2966"/>
      <c r="F73" s="2967"/>
      <c r="G73" s="2850" t="str">
        <f>IF(D112="","",D112)</f>
        <v/>
      </c>
      <c r="H73" s="2851"/>
      <c r="I73" s="2852"/>
      <c r="J73" s="3257"/>
      <c r="K73" s="3258"/>
      <c r="L73" s="3259"/>
      <c r="M73" s="3021"/>
      <c r="N73" s="3022"/>
      <c r="O73" s="1402"/>
      <c r="P73" s="1403"/>
      <c r="Q73" s="1413"/>
      <c r="R73" s="1416" t="s">
        <v>513</v>
      </c>
      <c r="S73" s="63" t="s">
        <v>688</v>
      </c>
      <c r="T73" s="63"/>
      <c r="U73" s="1417"/>
      <c r="X73" s="3286" t="s">
        <v>920</v>
      </c>
      <c r="Y73" s="3286"/>
      <c r="Z73" s="3286"/>
      <c r="AA73" s="3286"/>
      <c r="AB73" s="3286"/>
      <c r="AC73" s="3287"/>
    </row>
    <row r="74" spans="1:29" ht="10.5" customHeight="1" thickBot="1">
      <c r="A74" s="2832"/>
      <c r="B74" s="2833"/>
      <c r="C74" s="2834"/>
      <c r="D74" s="1420" t="str">
        <f>IF(OR(P40&lt;&gt;"",M28&lt;&gt;""),"For weak zones, the RMR is unclear","")</f>
        <v/>
      </c>
      <c r="E74" s="1421"/>
      <c r="F74" s="1422"/>
      <c r="G74" s="3025"/>
      <c r="H74" s="3026"/>
      <c r="I74" s="3027"/>
      <c r="J74" s="1423" t="str">
        <f>L139</f>
        <v/>
      </c>
      <c r="K74" s="1424"/>
      <c r="L74" s="1425"/>
      <c r="M74" s="1426" t="str">
        <f>L141</f>
        <v/>
      </c>
      <c r="N74" s="1427"/>
      <c r="O74" s="1402"/>
      <c r="P74" s="1403"/>
      <c r="Q74" s="1428"/>
      <c r="R74" s="1429" t="s">
        <v>514</v>
      </c>
      <c r="S74" s="1430" t="s">
        <v>690</v>
      </c>
      <c r="T74" s="1430"/>
      <c r="U74" s="1431"/>
      <c r="X74" s="3286"/>
      <c r="Y74" s="3286"/>
      <c r="Z74" s="3286"/>
      <c r="AA74" s="3286"/>
      <c r="AB74" s="3286"/>
      <c r="AC74" s="3287"/>
    </row>
    <row r="75" spans="1:29" ht="9.6" customHeight="1">
      <c r="B75" s="1432"/>
      <c r="E75" s="1433"/>
      <c r="F75" s="1433"/>
      <c r="G75" s="1434"/>
      <c r="H75" s="1434"/>
      <c r="N75" s="1075" t="str">
        <f>IF(AND(M11&lt;&gt;"",P40&lt;&gt;"",M28&lt;&gt;""),"weakness zone*)  = means that assumed arching effect from adjacent rockmasses on the zone stability is included in the support estimate","")</f>
        <v/>
      </c>
      <c r="O75" s="1075"/>
      <c r="Q75" s="1435" t="s">
        <v>1129</v>
      </c>
      <c r="R75" s="1436"/>
      <c r="S75" s="1436"/>
      <c r="T75" s="1437"/>
      <c r="U75" s="1438"/>
      <c r="W75" s="1418"/>
      <c r="X75" s="1418"/>
      <c r="Y75" s="1418"/>
      <c r="Z75" s="1418"/>
      <c r="AA75" s="1418"/>
      <c r="AB75" s="1418"/>
      <c r="AC75" s="1419"/>
    </row>
    <row r="76" spans="1:29" ht="9.75" customHeight="1">
      <c r="C76" s="1439"/>
      <c r="D76" s="1439"/>
      <c r="E76" s="1440"/>
      <c r="F76" s="1440"/>
      <c r="G76" s="1319"/>
      <c r="J76" s="1016"/>
      <c r="K76" s="1441"/>
      <c r="L76" s="1442"/>
      <c r="N76" s="1443"/>
      <c r="O76" s="1443"/>
      <c r="Q76" s="1444" t="s">
        <v>517</v>
      </c>
      <c r="R76" s="1445" t="s">
        <v>521</v>
      </c>
      <c r="S76" s="1445"/>
      <c r="T76" s="1446"/>
      <c r="U76" s="1447"/>
    </row>
    <row r="77" spans="1:29" ht="9.75" customHeight="1">
      <c r="A77" s="917"/>
      <c r="B77" s="1448" t="s">
        <v>929</v>
      </c>
      <c r="C77" s="1449"/>
      <c r="D77" s="1449"/>
      <c r="E77" s="1450"/>
      <c r="H77" s="917"/>
      <c r="I77" s="917"/>
      <c r="J77" s="917"/>
      <c r="K77" s="917"/>
      <c r="L77" s="1451"/>
      <c r="M77" s="1452"/>
      <c r="N77" s="1453"/>
      <c r="O77" s="1454"/>
      <c r="P77" s="1443"/>
      <c r="Q77" s="1455" t="s">
        <v>518</v>
      </c>
      <c r="R77" s="1456" t="s">
        <v>923</v>
      </c>
      <c r="S77" s="1456"/>
      <c r="T77" s="1456"/>
      <c r="U77" s="1457" t="s">
        <v>888</v>
      </c>
      <c r="W77" s="1411"/>
      <c r="X77" s="1411"/>
      <c r="Y77" s="1412"/>
    </row>
    <row r="78" spans="1:29" ht="9.75" customHeight="1">
      <c r="A78" s="1458"/>
      <c r="B78" s="1459"/>
      <c r="C78" s="1459"/>
      <c r="D78" s="1459"/>
      <c r="E78" s="1460"/>
      <c r="F78" s="1461" t="s">
        <v>1130</v>
      </c>
      <c r="G78" s="462">
        <v>1</v>
      </c>
      <c r="H78" s="1462" t="s">
        <v>845</v>
      </c>
      <c r="I78" s="932"/>
      <c r="J78" s="932"/>
      <c r="K78" s="1463"/>
      <c r="L78" s="1464" t="s">
        <v>949</v>
      </c>
      <c r="M78" s="465">
        <v>10</v>
      </c>
      <c r="N78" s="1465" t="s">
        <v>845</v>
      </c>
      <c r="O78" s="1466"/>
      <c r="P78" s="1467"/>
      <c r="W78" s="1411"/>
      <c r="X78" s="1411"/>
      <c r="Y78" s="1468"/>
    </row>
    <row r="79" spans="1:29" ht="9.75" customHeight="1">
      <c r="A79" s="1469"/>
      <c r="B79" s="1470"/>
      <c r="C79" s="1470"/>
      <c r="D79" s="1470"/>
      <c r="E79" s="1470"/>
      <c r="F79" s="1471" t="s">
        <v>812</v>
      </c>
      <c r="G79" s="463">
        <v>6</v>
      </c>
      <c r="H79" s="1472" t="s">
        <v>828</v>
      </c>
      <c r="I79" s="1473"/>
      <c r="J79" s="1474"/>
      <c r="K79" s="1474"/>
      <c r="L79" s="1475" t="s">
        <v>950</v>
      </c>
      <c r="M79" s="466">
        <v>4</v>
      </c>
      <c r="N79" s="1476" t="s">
        <v>845</v>
      </c>
      <c r="O79" s="1466"/>
      <c r="P79" s="3"/>
    </row>
    <row r="80" spans="1:29" ht="9.75" customHeight="1">
      <c r="A80" s="1477"/>
      <c r="B80" s="1478"/>
      <c r="C80" s="1479"/>
      <c r="D80" s="1479"/>
      <c r="E80" s="1479"/>
      <c r="F80" s="1480" t="s">
        <v>951</v>
      </c>
      <c r="G80" s="464">
        <v>80</v>
      </c>
      <c r="H80" s="942"/>
      <c r="I80" s="1477"/>
      <c r="J80" s="1481"/>
      <c r="K80" s="1481"/>
      <c r="L80" s="942"/>
      <c r="M80" s="1451" t="s">
        <v>1131</v>
      </c>
      <c r="N80" s="802">
        <v>2.5</v>
      </c>
      <c r="O80" s="2043"/>
    </row>
    <row r="81" spans="1:29" ht="11.25" customHeight="1">
      <c r="A81" s="942"/>
      <c r="B81" s="1430"/>
      <c r="D81" s="1482" t="s">
        <v>1139</v>
      </c>
      <c r="E81" s="2014">
        <v>5</v>
      </c>
      <c r="F81" s="1483" t="s">
        <v>1140</v>
      </c>
      <c r="G81" s="1484"/>
      <c r="H81" s="1485"/>
      <c r="I81" s="1485"/>
      <c r="J81" s="1482" t="s">
        <v>1137</v>
      </c>
      <c r="K81" s="2014">
        <v>2.5</v>
      </c>
      <c r="L81" s="1486" t="s">
        <v>1138</v>
      </c>
      <c r="M81" s="2041"/>
      <c r="N81" s="1308"/>
      <c r="O81" s="1108"/>
      <c r="P81" s="2042"/>
      <c r="Q81" s="1108"/>
      <c r="R81" s="265"/>
      <c r="S81" s="826"/>
      <c r="T81" s="1487"/>
      <c r="U81" s="1488"/>
      <c r="W81" s="1411"/>
      <c r="X81" s="1411"/>
    </row>
    <row r="82" spans="1:29" ht="18" customHeight="1">
      <c r="A82" s="1489"/>
      <c r="B82" s="3011" t="s">
        <v>312</v>
      </c>
      <c r="C82" s="3011"/>
      <c r="D82" s="3011"/>
      <c r="E82" s="3011"/>
      <c r="F82" s="3011"/>
      <c r="G82" s="3011"/>
      <c r="H82" s="3011"/>
      <c r="I82" s="3011"/>
      <c r="J82" s="3011"/>
      <c r="K82" s="3011"/>
      <c r="L82" s="3011"/>
      <c r="M82" s="3011"/>
      <c r="N82" s="3011"/>
      <c r="O82" s="3011"/>
      <c r="P82" s="3011"/>
      <c r="Q82" s="1490"/>
      <c r="R82" s="1491"/>
      <c r="S82" s="1492"/>
      <c r="T82" s="1492"/>
      <c r="U82" s="1493"/>
      <c r="V82" s="1493"/>
      <c r="W82" s="1493"/>
      <c r="X82" s="1493"/>
      <c r="Y82" s="1493"/>
      <c r="Z82" s="1493"/>
      <c r="AA82" s="1494"/>
      <c r="AB82" s="1495"/>
      <c r="AC82" s="1495"/>
    </row>
    <row r="83" spans="1:29" ht="15">
      <c r="A83" s="1496"/>
      <c r="B83" s="1497"/>
      <c r="C83" s="2991" t="s">
        <v>402</v>
      </c>
      <c r="D83" s="2991"/>
      <c r="E83" s="2991"/>
      <c r="F83" s="2991"/>
      <c r="G83" s="2991"/>
      <c r="H83" s="2991"/>
      <c r="I83" s="1498"/>
      <c r="J83" s="3268" t="s">
        <v>104</v>
      </c>
      <c r="K83" s="3268"/>
      <c r="L83" s="3268"/>
      <c r="M83" s="3268"/>
      <c r="N83" s="3268"/>
      <c r="O83" s="3268"/>
      <c r="P83" s="3268"/>
      <c r="Q83" s="1499"/>
      <c r="R83" s="1495"/>
      <c r="AC83" s="1495"/>
    </row>
    <row r="84" spans="1:29" ht="13.5" customHeight="1">
      <c r="A84" s="3284" t="s">
        <v>105</v>
      </c>
      <c r="B84" s="3285"/>
      <c r="C84" s="3285"/>
      <c r="D84" s="1500"/>
      <c r="E84" s="2995" t="s">
        <v>546</v>
      </c>
      <c r="F84" s="2813" t="s">
        <v>575</v>
      </c>
      <c r="G84" s="3023" t="s">
        <v>237</v>
      </c>
      <c r="H84" s="3024"/>
      <c r="I84" s="1498"/>
      <c r="J84" s="3250" t="s">
        <v>105</v>
      </c>
      <c r="K84" s="3251"/>
      <c r="L84" s="3251"/>
      <c r="M84" s="3037" t="s">
        <v>107</v>
      </c>
      <c r="N84" s="3251" t="s">
        <v>237</v>
      </c>
      <c r="O84" s="3251"/>
      <c r="P84" s="3251"/>
      <c r="Q84" s="1500"/>
      <c r="R84" s="1498"/>
      <c r="S84" s="3315" t="s">
        <v>309</v>
      </c>
      <c r="T84" s="3315"/>
      <c r="U84" s="3315"/>
      <c r="V84" s="3315"/>
      <c r="W84" s="3315"/>
      <c r="X84" s="1501"/>
      <c r="Y84" s="1502"/>
      <c r="Z84" s="379"/>
      <c r="AA84" s="1494"/>
      <c r="AB84" s="1495"/>
      <c r="AC84" s="1495"/>
    </row>
    <row r="85" spans="1:29" ht="12" customHeight="1">
      <c r="A85" s="3252"/>
      <c r="B85" s="3253"/>
      <c r="C85" s="3253"/>
      <c r="D85" s="1503"/>
      <c r="E85" s="2996"/>
      <c r="F85" s="2814"/>
      <c r="G85" s="1504" t="s">
        <v>586</v>
      </c>
      <c r="H85" s="1505" t="s">
        <v>1047</v>
      </c>
      <c r="I85" s="1498"/>
      <c r="J85" s="3252"/>
      <c r="K85" s="3253"/>
      <c r="L85" s="3253"/>
      <c r="M85" s="3038"/>
      <c r="N85" s="3253"/>
      <c r="O85" s="3253"/>
      <c r="P85" s="3253"/>
      <c r="Q85" s="1503"/>
      <c r="R85" s="1498"/>
      <c r="S85" s="3316" t="s">
        <v>827</v>
      </c>
      <c r="T85" s="3316"/>
      <c r="U85" s="3316"/>
      <c r="V85" s="3316"/>
      <c r="W85" s="3316"/>
      <c r="X85" s="3316"/>
      <c r="Y85" s="3316"/>
      <c r="AA85" s="1506"/>
      <c r="AB85" s="1495"/>
      <c r="AC85" s="1495"/>
    </row>
    <row r="86" spans="1:29" ht="15" customHeight="1">
      <c r="A86" s="2815" t="s">
        <v>103</v>
      </c>
      <c r="B86" s="2816"/>
      <c r="C86" s="1508"/>
      <c r="D86" s="1509" t="str">
        <f>IF(E86="","","RQD =")</f>
        <v/>
      </c>
      <c r="E86" s="1510" t="str">
        <f>IF(M11="","",IF(M11="a",'Parameter tables'!J32,IF(M11="b",'Parameter tables'!J33,IF(M11="c",'Parameter tables'!J34,IF(M11="d",'Parameter tables'!J35,IF(M11="e",'Parameter tables'!J36,IF(M11="f",'Parameter tables'!J37,"?")))))))</f>
        <v/>
      </c>
      <c r="F86" s="2057"/>
      <c r="G86" s="1512" t="str">
        <f>IF(M15&lt;&gt;"",110-2.5*M15,IF(M14&lt;&gt;"",110-2.5*(N14/F128)^-0.333,""))</f>
        <v/>
      </c>
      <c r="H86" s="1513"/>
      <c r="I86" s="1514"/>
      <c r="J86" s="3245" t="s">
        <v>534</v>
      </c>
      <c r="K86" s="3246"/>
      <c r="L86" s="1515" t="s">
        <v>13</v>
      </c>
      <c r="M86" s="1516">
        <f>IF(M10="",'Parameter tables'!H14,IF(M10="a",'Parameter tables'!H10,IF(M10="b",'Parameter tables'!H10,IF(M10="c",'Parameter tables'!H11,IF(M10="d",'Parameter tables'!H12,IF(M10="e",'Parameter tables'!H13,IF(M10="f",'Parameter tables'!H14,IF(M10="g",'Parameter tables'!H15,IF(M10="h",'Parameter tables'!H16,IF(M10="i",'Parameter tables'!H17,"?"))))))))))</f>
        <v>7</v>
      </c>
      <c r="N86" s="1517" t="s">
        <v>307</v>
      </c>
      <c r="O86" s="1517"/>
      <c r="P86" s="1518"/>
      <c r="Q86" s="1519"/>
      <c r="R86" s="1498"/>
      <c r="S86" s="1520" t="s">
        <v>157</v>
      </c>
      <c r="T86" s="1520"/>
      <c r="U86" s="1520"/>
      <c r="V86" s="1521"/>
      <c r="W86" s="1521"/>
      <c r="X86" s="1521"/>
      <c r="Y86" s="1495"/>
      <c r="Z86" s="1494"/>
      <c r="AA86" s="1506"/>
      <c r="AB86" s="1495"/>
      <c r="AC86" s="1495"/>
    </row>
    <row r="87" spans="1:29">
      <c r="A87" s="2817"/>
      <c r="B87" s="2818"/>
      <c r="C87" s="1522"/>
      <c r="D87" s="1523" t="s">
        <v>753</v>
      </c>
      <c r="E87" s="1524" t="str">
        <f>IF(M11="","",IF(M13&lt;&gt;"",M13,IF(M15&lt;&gt;"",G87,IF(M14&lt;&gt;"",G87,E86))))</f>
        <v/>
      </c>
      <c r="F87" s="2058" t="str">
        <f>IF(H87="","",IF(H87&gt;100,100,IF(H87&lt;10,10,H87)))</f>
        <v/>
      </c>
      <c r="G87" s="1525" t="str">
        <f>IF(G86="","",IF(G86&gt;100,100,IF(G86&lt;10,10,G86)))</f>
        <v/>
      </c>
      <c r="H87" s="1526" t="str">
        <f>IF(M28="","",IF(110-2.5*(H138/'Parameter tables'!M67)^-0.333&lt;0,0,10))</f>
        <v/>
      </c>
      <c r="I87" s="1527"/>
      <c r="J87" s="1528" t="s">
        <v>103</v>
      </c>
      <c r="K87" s="3260" t="s">
        <v>397</v>
      </c>
      <c r="L87" s="3261"/>
      <c r="M87" s="1529" t="str">
        <f>IF(M11="","",IF(E87&lt;='Parameter tables'!F32,'Parameter tables'!H32,IF(E87&lt;'Parameter tables'!F33,'Parameter tables'!H33,IF(E87&lt;'Parameter tables'!F34,'Parameter tables'!H34,IF(E87&lt;'Parameter tables'!F35,'Parameter tables'!H35,IF(E87&lt;'Parameter tables'!F36,'Parameter tables'!H36,IF(E87&lt;='Parameter tables'!F37,'Parameter tables'!H37,"?")))))))</f>
        <v/>
      </c>
      <c r="N87" s="1530"/>
      <c r="O87" s="1530"/>
      <c r="P87" s="1530" t="str">
        <f>IF(N87="","","RQD input")</f>
        <v/>
      </c>
      <c r="Q87" s="1531"/>
      <c r="R87" s="1498"/>
      <c r="S87" s="1532" t="s">
        <v>108</v>
      </c>
      <c r="T87" s="1533">
        <v>100</v>
      </c>
      <c r="U87" s="1534" t="s">
        <v>126</v>
      </c>
      <c r="V87" s="705">
        <v>80</v>
      </c>
      <c r="W87" s="733" t="s">
        <v>408</v>
      </c>
      <c r="X87" s="734"/>
      <c r="Y87" s="735"/>
      <c r="Z87" s="736"/>
      <c r="AA87" s="1506"/>
      <c r="AB87" s="1495"/>
      <c r="AC87" s="1495"/>
    </row>
    <row r="88" spans="1:29" ht="14.45" customHeight="1">
      <c r="A88" s="2815" t="s">
        <v>11</v>
      </c>
      <c r="B88" s="2981"/>
      <c r="C88" s="2816"/>
      <c r="D88" s="2944" t="s">
        <v>40</v>
      </c>
      <c r="E88" s="1535">
        <f>IF(M17&lt;&gt;"","",IF(F130&gt;'Parameter tables'!O72,'Parameter tables'!J72,IF(F130&gt;'Parameter tables'!O73,'Parameter tables'!J73,IF(F130&gt;'Parameter tables'!O74,'Parameter tables'!J74,IF(F130&gt;'Parameter tables'!O75,'Parameter tables'!J75,IF(F130&gt;'Parameter tables'!O76,'Parameter tables'!J76,IF(F130&gt;'Parameter tables'!O77,'Parameter tables'!J77,IF(F130&gt;'Parameter tables'!O78,'Parameter tables'!J78,15))))))))</f>
        <v>0.75</v>
      </c>
      <c r="F88" s="2059"/>
      <c r="G88" s="1537" t="str">
        <f>IF(M11="","",IF(M17&lt;&gt;"","",IF(F130&gt;'Parameter tables'!O72,'Parameter tables'!A72,IF(F130&gt;'Parameter tables'!O73,'Parameter tables'!A73,IF(F130&gt;'Parameter tables'!O74,'Parameter tables'!A74,IF(F130&gt;'Parameter tables'!O75,'Parameter tables'!A75,IF(F130&gt;'Parameter tables'!O76,'Parameter tables'!A76,IF(F130&gt;'Parameter tables'!O77,'Parameter tables'!A77,IF(F130&gt;'Parameter tables'!O78,'Parameter tables'!A78,'Parameter tables'!A79)))))))))</f>
        <v/>
      </c>
      <c r="H88" s="1538" t="str">
        <f>IF(E88="","","← from Vb")</f>
        <v>← from Vb</v>
      </c>
      <c r="I88" s="1539" t="str">
        <f>IF(M17="","",IF(OR(M17="a",M17="b",M17="c",M17="d"),"",IF(M17="e",'Parameter tables'!B76,IF(M17="f",'Parameter tables'!B77,IF(M17="g",'Parameter tables'!B78,IF(M17="h",'Parameter tables'!B79,IF(M17="i",'Parameter tables'!B80,9)))))))</f>
        <v/>
      </c>
      <c r="J88" s="3247" t="s">
        <v>238</v>
      </c>
      <c r="K88" s="1540" t="str">
        <f>IF(L88="","","Spacing, Sa =")</f>
        <v/>
      </c>
      <c r="L88" s="1541" t="str">
        <f>IF(M11="","",F131)</f>
        <v/>
      </c>
      <c r="M88" s="1511" t="s">
        <v>74</v>
      </c>
      <c r="N88" s="1542" t="str">
        <f>IF(M16&lt;&gt;"","",IF(F130&gt;'Parameter tables'!F58,'Parameter tables'!B57,IF(F130&gt;'Parameter tables'!F59,'Parameter tables'!B58,IF(F130&gt;'Parameter tables'!F60,'Parameter tables'!B59,IF(F130&gt;'Parameter tables'!B60,'Parameter tables'!B60,IF(F130&lt;'Parameter tables'!F61,'Parameter tables'!B61,"?"))))))</f>
        <v>Very large spacing</v>
      </c>
      <c r="O88" s="1542"/>
      <c r="P88" s="3269" t="str">
        <f>IF(L88="","","(from block diameter)")</f>
        <v/>
      </c>
      <c r="Q88" s="3270"/>
      <c r="R88" s="1514"/>
      <c r="S88" s="1545" t="s">
        <v>108</v>
      </c>
      <c r="T88" s="1546">
        <f>V87</f>
        <v>80</v>
      </c>
      <c r="U88" s="1547" t="s">
        <v>126</v>
      </c>
      <c r="V88" s="704">
        <v>60</v>
      </c>
      <c r="W88" s="725" t="s">
        <v>409</v>
      </c>
      <c r="X88" s="726"/>
      <c r="Y88" s="727"/>
      <c r="Z88" s="737"/>
      <c r="AA88" s="1506"/>
      <c r="AB88" s="1495"/>
      <c r="AC88" s="1495"/>
    </row>
    <row r="89" spans="1:29">
      <c r="A89" s="2982"/>
      <c r="B89" s="2983"/>
      <c r="C89" s="3000"/>
      <c r="D89" s="2946"/>
      <c r="E89" s="1510" t="str">
        <f>IF(M17="","",IF(M17="a",'Parameter tables'!J72,IF(M17="b",'Parameter tables'!J73,IF(M17="c",'Parameter tables'!J74,IF(M17="d",'Parameter tables'!J75,IF(M17="e",'Parameter tables'!J76,IF(M17="f",'Parameter tables'!J77,IF(M17="g",'Parameter tables'!J78,IF(M17="h",'Parameter tables'!J79,IF(M17="i",'Parameter tables'!J80,""))))))))))</f>
        <v/>
      </c>
      <c r="F89" s="2059"/>
      <c r="G89" s="1550" t="str">
        <f>IF(M17="","",IF(M17="a",'Parameter tables'!A72,IF(M17="b",'Parameter tables'!A73,IF(M17="c",'Parameter tables'!A74,IF(M17="d",'Parameter tables'!A75,IF(M17="e",'Parameter tables'!A76,IF(M17="f",'Parameter tables'!A77,IF(M17="g",'Parameter tables'!A78,IF(M17="h",'Parameter tables'!A79,IF(M17="i",'Parameter tables'!A80,""))))))))))</f>
        <v/>
      </c>
      <c r="H89" s="1551" t="str">
        <f>IF(E89="","","← from Jn")</f>
        <v/>
      </c>
      <c r="I89" s="1498"/>
      <c r="J89" s="3248"/>
      <c r="K89" s="1552" t="str">
        <f>IF(L89="","","Sa =")</f>
        <v/>
      </c>
      <c r="L89" s="1553" t="str">
        <f>IF(M16="","",IF(M16="a",'Parameter tables'!C57,IF(M16="b",'Parameter tables'!C58,IF(M16="c",'Parameter tables'!C59,IF(M16="d",'Parameter tables'!C60,IF(M16="e",'Parameter tables'!C61,"?"))))))</f>
        <v/>
      </c>
      <c r="M89" s="1554" t="s">
        <v>53</v>
      </c>
      <c r="N89" s="3292"/>
      <c r="O89" s="3293"/>
      <c r="P89" s="3293"/>
      <c r="Q89" s="1555"/>
      <c r="R89" s="1498"/>
      <c r="S89" s="1545" t="s">
        <v>108</v>
      </c>
      <c r="T89" s="1546">
        <f>V88</f>
        <v>60</v>
      </c>
      <c r="U89" s="1547" t="s">
        <v>126</v>
      </c>
      <c r="V89" s="704">
        <v>40</v>
      </c>
      <c r="W89" s="726" t="s">
        <v>169</v>
      </c>
      <c r="X89" s="726"/>
      <c r="Y89" s="727"/>
      <c r="Z89" s="737"/>
      <c r="AA89" s="1494"/>
      <c r="AB89" s="1495"/>
      <c r="AC89" s="1495"/>
    </row>
    <row r="90" spans="1:29" ht="14.25" customHeight="1">
      <c r="A90" s="2817"/>
      <c r="B90" s="2984"/>
      <c r="C90" s="2818"/>
      <c r="D90" s="1556" t="s">
        <v>754</v>
      </c>
      <c r="E90" s="1557">
        <f>IF(E88="",E89,E88)</f>
        <v>0.75</v>
      </c>
      <c r="F90" s="2060" t="str">
        <f>IF(M28="","",IF(H138&gt;'Parameter tables'!O72,'Parameter tables'!J72,IF(H138&gt;'Parameter tables'!O73,'Parameter tables'!J73,IF(H138&gt;'Parameter tables'!O74,'Parameter tables'!J74,IF(H138&gt;'Parameter tables'!O75,'Parameter tables'!J75,IF(H138&gt;'Parameter tables'!O76,'Parameter tables'!J76,IF(H138&gt;'Parameter tables'!O77,'Parameter tables'!J77,IF(H138&gt;'Parameter tables'!O78,'Parameter tables'!J78,'Parameter tables'!J79))))))))</f>
        <v/>
      </c>
      <c r="G90" s="1559" t="str">
        <f>IF(G88&lt;&gt;"",G88,IF(G89&lt;&gt;"",G89,""))</f>
        <v/>
      </c>
      <c r="H90" s="1560"/>
      <c r="I90" s="1539" t="str">
        <f>IF(M17&lt;&gt;"","",IF(F129&gt;'Parameter tables'!O72,'Parameter tables'!B72,IF(F129&gt;'Parameter tables'!O73,'Parameter tables'!B73,IF(F129&gt;'Parameter tables'!O74,'Parameter tables'!B74,IF(F129&gt;'Parameter tables'!O75,'Parameter tables'!B75,IF(F129&gt;'Parameter tables'!O76,'Parameter tables'!B76,IF(F129&gt;'Parameter tables'!O77,'Parameter tables'!B77,IF(F129&gt;'Parameter tables'!O78,'Parameter tables'!B78,15))))))))</f>
        <v>No or few joints</v>
      </c>
      <c r="J90" s="3249"/>
      <c r="K90" s="1561"/>
      <c r="L90" s="1556" t="s">
        <v>761</v>
      </c>
      <c r="M90" s="1529" t="str">
        <f>IF(M11="","",IF(L88&gt;='Parameter tables'!F58,'Parameter tables'!H57,IF(L88&gt;'Parameter tables'!F59,'Parameter tables'!H58,IF(L88&gt;'Parameter tables'!F60,'Parameter tables'!H59,IF(L88&gt;'Parameter tables'!F61,'Parameter tables'!H60,'Parameter tables'!H61)))))</f>
        <v/>
      </c>
      <c r="N90" s="1562"/>
      <c r="O90" s="1563"/>
      <c r="P90" s="1564"/>
      <c r="Q90" s="1565"/>
      <c r="R90" s="1566"/>
      <c r="S90" s="1545" t="s">
        <v>108</v>
      </c>
      <c r="T90" s="1546">
        <f>V89</f>
        <v>40</v>
      </c>
      <c r="U90" s="1547" t="s">
        <v>126</v>
      </c>
      <c r="V90" s="704">
        <v>20</v>
      </c>
      <c r="W90" s="726" t="s">
        <v>410</v>
      </c>
      <c r="X90" s="726"/>
      <c r="Y90" s="727"/>
      <c r="Z90" s="737"/>
      <c r="AA90" s="1506"/>
      <c r="AB90" s="1495"/>
      <c r="AC90" s="1495"/>
    </row>
    <row r="91" spans="1:29" ht="15" customHeight="1">
      <c r="A91" s="2815" t="s">
        <v>556</v>
      </c>
      <c r="B91" s="2981"/>
      <c r="C91" s="2816"/>
      <c r="D91" s="1567" t="s">
        <v>57</v>
      </c>
      <c r="E91" s="1568">
        <f>IF(M20="",1.25,IF(M20="a",'Parameter tables'!J91,IF(M20="b",'Parameter tables'!J92,IF(M20="c",'Parameter tables'!J93,IF(M20="d",'Parameter tables'!J94,IF(M20="e",'Parameter tables'!J95,IF(M20="f",'Parameter tables'!J96,IF(M20="g",'Parameter tables'!J97,"?"))))))))</f>
        <v>1.25</v>
      </c>
      <c r="F91" s="2059"/>
      <c r="G91" s="1569" t="str">
        <f>IF(M11="","",IF(M20="",'Parameter tables'!A93,IF(M20="a",'Parameter tables'!A91,IF(M20="b",'Parameter tables'!A92,IF(M20="c",'Parameter tables'!A93,IF(M20="d",'Parameter tables'!A94,IF(M20="e",'Parameter tables'!A95,IF(M20="f",'Parameter tables'!A96,IF(M20="g",'Parameter tables'!A97,"?")))))))))</f>
        <v/>
      </c>
      <c r="H91" s="1544"/>
      <c r="I91" s="1539" t="str">
        <f>IF(M17="","",IF(M17="a",'Parameter tables'!B72,IF(M17="b",'Parameter tables'!B73,IF(M17="c",'Parameter tables'!B74,IF(M17="d",'Parameter tables'!B75,"")))))</f>
        <v/>
      </c>
      <c r="J91" s="1570"/>
      <c r="K91" s="1571" t="s">
        <v>181</v>
      </c>
      <c r="L91" s="1572" t="s">
        <v>75</v>
      </c>
      <c r="M91" s="1536">
        <f>IF(M24="",2,IF(M24="a",'Parameter tables'!H123,IF(M24="b",'Parameter tables'!H124,IF(M24="c",'Parameter tables'!H124,IF(M24="d",'Parameter tables'!H126,IF(M24="e",'Parameter tables'!H127,IF(M24="f",'Parameter tables'!H128,IF(M24="g",'Parameter tables'!H129,"?"))))))))</f>
        <v>2</v>
      </c>
      <c r="N91" s="1573"/>
      <c r="O91" s="1574"/>
      <c r="P91" s="1575"/>
      <c r="Q91" s="2888" t="s">
        <v>932</v>
      </c>
      <c r="R91" s="1566"/>
      <c r="S91" s="1576" t="s">
        <v>108</v>
      </c>
      <c r="T91" s="1577">
        <f>V90</f>
        <v>20</v>
      </c>
      <c r="U91" s="1578" t="s">
        <v>126</v>
      </c>
      <c r="V91" s="1579">
        <v>0</v>
      </c>
      <c r="W91" s="730" t="s">
        <v>411</v>
      </c>
      <c r="X91" s="731"/>
      <c r="Y91" s="732"/>
      <c r="Z91" s="738"/>
      <c r="AA91" s="1506"/>
      <c r="AB91" s="1495"/>
      <c r="AC91" s="1495"/>
    </row>
    <row r="92" spans="1:29" ht="12" customHeight="1">
      <c r="A92" s="2982"/>
      <c r="B92" s="2983"/>
      <c r="C92" s="3000"/>
      <c r="D92" s="1580" t="s">
        <v>64</v>
      </c>
      <c r="E92" s="1510">
        <f>IF(M21="",1.4,IF(M21="a",'Parameter tables'!J99,IF(M21="b",'Parameter tables'!J100,IF(M21="c",'Parameter tables'!J101,IF(M21="d",'Parameter tables'!J102,IF(M21="e",'Parameter tables'!J103,IF(M21="f",'Parameter tables'!J104,"?")))))))</f>
        <v>1.4</v>
      </c>
      <c r="F92" s="2061"/>
      <c r="G92" s="1581" t="str">
        <f>IF(M11="","",IF(M21="",'Parameter tables'!A102,IF(M21="a",'Parameter tables'!A99,IF(M21="b",'Parameter tables'!A100,IF(M21="c",'Parameter tables'!A101,IF(M21="d",'Parameter tables'!A102,IF(M21="e",'Parameter tables'!A103,IF(M21="f",'Parameter tables'!A104,"?"))))))))</f>
        <v/>
      </c>
      <c r="H92" s="1582" t="str">
        <f>IF(M21="","(common value)","")</f>
        <v>(common value)</v>
      </c>
      <c r="I92" s="1514"/>
      <c r="J92" s="1583"/>
      <c r="K92" s="1584" t="s">
        <v>583</v>
      </c>
      <c r="L92" s="1585" t="s">
        <v>82</v>
      </c>
      <c r="M92" s="1554">
        <f>IF(M25="",'Parameter tables'!H134,IF(M25="a",'Parameter tables'!H132,IF(M25="b",'Parameter tables'!H133,IF(M25="c",'Parameter tables'!H134,IF(M25="d",'Parameter tables'!H135,IF(M25="e",'Parameter tables'!H136,"?"))))))</f>
        <v>4</v>
      </c>
      <c r="N92" s="1586"/>
      <c r="O92" s="1587"/>
      <c r="P92" s="1588"/>
      <c r="Q92" s="2889"/>
      <c r="S92" s="1589"/>
      <c r="T92" s="1590"/>
      <c r="U92" s="1589"/>
      <c r="V92" s="1502"/>
      <c r="W92" s="1502"/>
      <c r="X92" s="1502"/>
      <c r="Y92" s="1502"/>
      <c r="Z92" s="1494"/>
      <c r="AA92" s="1506"/>
      <c r="AB92" s="1495"/>
      <c r="AC92" s="1495"/>
    </row>
    <row r="93" spans="1:29" ht="13.9" customHeight="1">
      <c r="A93" s="2817"/>
      <c r="B93" s="2984"/>
      <c r="C93" s="2818"/>
      <c r="D93" s="1591" t="s">
        <v>755</v>
      </c>
      <c r="E93" s="1557">
        <f>IF(OR(M22="i",M22="k",M22="m",M22="o"),1,E91*E92)</f>
        <v>1.75</v>
      </c>
      <c r="F93" s="2062" t="str">
        <f>IF(M28="","",IF(M35="",'Parameter tables'!J190,IF(M35="a",'Parameter tables'!J188,IF(M35="b",'Parameter tables'!J189,IF(M35="c",'Parameter tables'!J190,IF(M35="d",'Parameter tables'!J191,IF(M35="e",'Parameter tables'!J192,IF(M35="f",'Parameter tables'!J193,IF(M35="g",'Parameter tables'!J194,"")))))))))</f>
        <v/>
      </c>
      <c r="G93" s="1592" t="str">
        <f>IF(OR(M28="f",M28="g",M28="h",M28="i"),"for filled joints, Jr = 1","")</f>
        <v/>
      </c>
      <c r="H93" s="1593" t="s">
        <v>680</v>
      </c>
      <c r="I93" s="1539" t="str">
        <f>IF(I90&lt;&gt;"",I90,IF(I91&lt;&gt;"",I91,IF(I88&lt;&gt;"",I88,"?")))</f>
        <v>No or few joints</v>
      </c>
      <c r="J93" s="1594"/>
      <c r="K93" s="1584" t="s">
        <v>540</v>
      </c>
      <c r="L93" s="1552" t="s">
        <v>55</v>
      </c>
      <c r="M93" s="1554">
        <f>IF(M20="",'Parameter tables'!H93,IF(M20="a",'Parameter tables'!H91,IF(M20="b",'Parameter tables'!H92,IF(M20="c",'Parameter tables'!H93,IF(M20="d",'Parameter tables'!H94,IF(M20="e",'Parameter tables'!H95,IF(M20="f",'Parameter tables'!H96,IF(M20="g",'Parameter tables'!H97,"?"))))))))</f>
        <v>3</v>
      </c>
      <c r="N93" s="1586"/>
      <c r="O93" s="1587"/>
      <c r="P93" s="1588"/>
      <c r="Q93" s="2889"/>
      <c r="R93" s="1539" t="str">
        <f>IF(M16="","",IF(M16="a",'Parameter tables'!B57,IF(M16="b",'Parameter tables'!B58,IF(M16="c",'Parameter tables'!B59,IF(M16="d",'Parameter tables'!B60,IF(M16="e",'Parameter tables'!B61,"?"))))))</f>
        <v/>
      </c>
      <c r="S93" s="1595" t="s">
        <v>158</v>
      </c>
      <c r="T93" s="1596"/>
      <c r="U93" s="1498"/>
      <c r="V93" s="1495"/>
      <c r="W93" s="1495"/>
      <c r="X93" s="1495"/>
      <c r="Y93" s="1495"/>
      <c r="Z93" s="1494"/>
      <c r="AA93" s="1494"/>
      <c r="AB93" s="1495"/>
      <c r="AC93" s="1495"/>
    </row>
    <row r="94" spans="1:29" ht="13.9" customHeight="1">
      <c r="A94" s="2982" t="s">
        <v>123</v>
      </c>
      <c r="B94" s="2983"/>
      <c r="C94" s="3000"/>
      <c r="D94" s="2944" t="s">
        <v>70</v>
      </c>
      <c r="E94" s="1535">
        <f>IF(AND(M22="",M23=""),'Parameter tables'!J108,IF(M22="a",'Parameter tables'!J107,IF(M22="b",'Parameter tables'!J108,IF(M22="c",'Parameter tables'!J109,IF(M22="d",'Parameter tables'!J110,IF(M22="e",'Parameter tables'!J111,IF(M22="f",'Parameter tables'!J112,"")))))))</f>
        <v>1</v>
      </c>
      <c r="F94" s="2063"/>
      <c r="G94" s="1597" t="str">
        <f>IF(M22="","(common value)","")</f>
        <v>(common value)</v>
      </c>
      <c r="H94" s="1598"/>
      <c r="I94" s="1539" t="str">
        <f>IF(M22="","",IF(M22="h",'Parameter tables'!B115,IF(M22="j",'Parameter tables'!B116,IF(M22="l",'Parameter tables'!B117,IF(M22="n",'Parameter tables'!B119,"")))))</f>
        <v/>
      </c>
      <c r="J94" s="3057" t="s">
        <v>398</v>
      </c>
      <c r="K94" s="1552" t="s">
        <v>172</v>
      </c>
      <c r="L94" s="1599" t="str">
        <f>IF(M94="","","A4d =")</f>
        <v>A4d =</v>
      </c>
      <c r="M94" s="1600">
        <f>IF(AND(M22="",M23=""),'Parameter tables'!H108,IF(M23="h",'Parameter tables'!H115,IF(M23="j",'Parameter tables'!H116,IF(M23="l",'Parameter tables'!H117,IF(M23="n",'Parameter tables'!H118,IF(OR(M22="a",M22="b",M22="c",M22="d",M22="e",M22="f"),'Parameter tables'!H108,""))))))</f>
        <v>6</v>
      </c>
      <c r="N94" s="1601" t="s">
        <v>395</v>
      </c>
      <c r="O94" s="1602"/>
      <c r="P94" s="1603">
        <f>M91+M92+M93+M97</f>
        <v>21</v>
      </c>
      <c r="Q94" s="2889"/>
      <c r="R94" s="1539"/>
      <c r="S94" s="1532" t="s">
        <v>109</v>
      </c>
      <c r="T94" s="1604">
        <v>1000</v>
      </c>
      <c r="U94" s="1534" t="s">
        <v>126</v>
      </c>
      <c r="V94" s="705">
        <v>400</v>
      </c>
      <c r="W94" s="692" t="s">
        <v>412</v>
      </c>
      <c r="X94" s="693"/>
      <c r="Y94" s="694"/>
      <c r="Z94" s="716"/>
      <c r="AA94" s="1506"/>
      <c r="AB94" s="1495"/>
      <c r="AC94" s="1495"/>
    </row>
    <row r="95" spans="1:29" ht="14.45" customHeight="1">
      <c r="A95" s="2982"/>
      <c r="B95" s="2983"/>
      <c r="C95" s="3000"/>
      <c r="D95" s="2945"/>
      <c r="E95" s="1510" t="str">
        <f>IF(M23="h",'Parameter tables'!J115,IF(M23="j",'Parameter tables'!J116,IF(M23="l",'Parameter tables'!J117,IF(M23="n",'Parameter tables'!J118,""))))</f>
        <v/>
      </c>
      <c r="F95" s="2064"/>
      <c r="G95" s="1605" t="str">
        <f>IF(E95="","","filled joint &lt; 5 mm")</f>
        <v/>
      </c>
      <c r="H95" s="1606"/>
      <c r="I95" s="1539"/>
      <c r="J95" s="3058"/>
      <c r="K95" s="1607" t="s">
        <v>173</v>
      </c>
      <c r="L95" s="1599" t="str">
        <f>IF(M95="","","A4d =")</f>
        <v/>
      </c>
      <c r="M95" s="1554" t="str">
        <f>IF(M23="i",'Parameter tables'!I115,IF(M23="k",'Parameter tables'!I116,IF(M23="m",'Parameter tables'!I117,IF(M23="o",'Parameter tables'!I118,""))))</f>
        <v/>
      </c>
      <c r="N95" s="1608"/>
      <c r="O95" s="1609"/>
      <c r="P95" s="1588"/>
      <c r="Q95" s="2889"/>
      <c r="R95" s="1610"/>
      <c r="S95" s="1545" t="s">
        <v>109</v>
      </c>
      <c r="T95" s="1611">
        <f t="shared" ref="T95:T100" si="0">V94</f>
        <v>400</v>
      </c>
      <c r="U95" s="1547" t="s">
        <v>126</v>
      </c>
      <c r="V95" s="704">
        <v>100</v>
      </c>
      <c r="W95" s="725" t="s">
        <v>413</v>
      </c>
      <c r="X95" s="726"/>
      <c r="Y95" s="727"/>
      <c r="Z95" s="720"/>
      <c r="AA95" s="1494"/>
      <c r="AB95" s="1495"/>
      <c r="AC95" s="1495"/>
    </row>
    <row r="96" spans="1:29" ht="13.9" customHeight="1">
      <c r="A96" s="2982"/>
      <c r="B96" s="2983"/>
      <c r="C96" s="3000"/>
      <c r="D96" s="2946"/>
      <c r="E96" s="1510" t="str">
        <f>IF(M23="i",'Parameter tables'!K115,IF(M23="k",'Parameter tables'!K116,IF(M23="m",'Parameter tables'!K117,IF(M23="o",'Parameter tables'!K118,""))))</f>
        <v/>
      </c>
      <c r="F96" s="2064"/>
      <c r="G96" s="1605" t="str">
        <f>IF(E96="","","filled joint &gt; 5mm")</f>
        <v/>
      </c>
      <c r="H96" s="1606"/>
      <c r="I96" s="1539"/>
      <c r="J96" s="2947" t="s">
        <v>308</v>
      </c>
      <c r="K96" s="2948"/>
      <c r="L96" s="2949"/>
      <c r="M96" s="1554">
        <f>IF(M22="",'Parameter tables'!H108,IF(M22="a",'Parameter tables'!H107,IF(M22="b",'Parameter tables'!H108,IF(M22="c",'Parameter tables'!H109,IF(M22="d",'Parameter tables'!H110,IF(M22="e",'Parameter tables'!H111,IF(M22="f",'Parameter tables'!H112,'Parameter tables'!H112)))))))</f>
        <v>6</v>
      </c>
      <c r="N96" s="1586"/>
      <c r="O96" s="1587"/>
      <c r="P96" s="1588"/>
      <c r="Q96" s="2889"/>
      <c r="R96" s="1610"/>
      <c r="S96" s="1545" t="s">
        <v>109</v>
      </c>
      <c r="T96" s="1611">
        <f t="shared" si="0"/>
        <v>100</v>
      </c>
      <c r="U96" s="1547" t="s">
        <v>126</v>
      </c>
      <c r="V96" s="704">
        <v>40</v>
      </c>
      <c r="W96" s="725" t="s">
        <v>408</v>
      </c>
      <c r="X96" s="726"/>
      <c r="Y96" s="727"/>
      <c r="Z96" s="720"/>
      <c r="AA96" s="1494"/>
      <c r="AB96" s="1495"/>
      <c r="AC96" s="1495"/>
    </row>
    <row r="97" spans="1:29" ht="14.25" customHeight="1">
      <c r="A97" s="2817"/>
      <c r="B97" s="2984"/>
      <c r="C97" s="2818"/>
      <c r="D97" s="1556" t="s">
        <v>756</v>
      </c>
      <c r="E97" s="1557">
        <f>SUM(E94:E96)</f>
        <v>1</v>
      </c>
      <c r="F97" s="2060" t="str">
        <f>IF(M28="","",IF(M35="",'Parameter tables'!K190,IF(M35="a",'Parameter tables'!K188,IF(M35="b",'Parameter tables'!K189,IF(M35="c",'Parameter tables'!K190,IF(M35="d",'Parameter tables'!K191,IF(M35="e",'Parameter tables'!K192,IF(M35="f",'Parameter tables'!K193,IF(M35="g",'Parameter tables'!K194,"")))))))))</f>
        <v/>
      </c>
      <c r="G97" s="1612"/>
      <c r="H97" s="1560"/>
      <c r="I97" s="1539" t="str">
        <f>IF(M22="",'Parameter tables'!B108,IF(M22="a",'Parameter tables'!B107,IF(M22="b",'Parameter tables'!B108,IF(M22="c",'Parameter tables'!B109,IF(M22="d",'Parameter tables'!B110,IF(M22="e",'Parameter tables'!B111,IF(M22="f",'Parameter tables'!B112,"")))))))</f>
        <v>Unaltered, fresh joint walls  // no filling</v>
      </c>
      <c r="J97" s="2897" t="s">
        <v>762</v>
      </c>
      <c r="K97" s="2898"/>
      <c r="L97" s="2899"/>
      <c r="M97" s="1613">
        <f>SUM(M94:M96)</f>
        <v>12</v>
      </c>
      <c r="N97" s="1614"/>
      <c r="O97" s="1615"/>
      <c r="P97" s="1616"/>
      <c r="Q97" s="2890"/>
      <c r="R97" s="1610"/>
      <c r="S97" s="1545" t="s">
        <v>109</v>
      </c>
      <c r="T97" s="1611">
        <f t="shared" si="0"/>
        <v>40</v>
      </c>
      <c r="U97" s="1547" t="s">
        <v>126</v>
      </c>
      <c r="V97" s="704">
        <v>10</v>
      </c>
      <c r="W97" s="725" t="s">
        <v>409</v>
      </c>
      <c r="X97" s="726"/>
      <c r="Y97" s="727"/>
      <c r="Z97" s="720"/>
      <c r="AA97" s="1494"/>
      <c r="AB97" s="1495"/>
      <c r="AC97" s="1495"/>
    </row>
    <row r="98" spans="1:29" ht="14.25" customHeight="1">
      <c r="A98" s="2798" t="s">
        <v>125</v>
      </c>
      <c r="B98" s="2800"/>
      <c r="C98" s="2799"/>
      <c r="D98" s="1617" t="s">
        <v>95</v>
      </c>
      <c r="E98" s="1618">
        <f>IF(M26="",'Parameter tables'!J140,IF(M26="a",'Parameter tables'!J140,IF(M26="b",'Parameter tables'!J140,IF(M26="c",'Parameter tables'!J142,IF(M26="d",'Parameter tables'!J143,IF(M26="e",'Parameter tables'!J144,IF(M26="f",'Parameter tables'!J145,IF(M26="g",'Parameter tables'!J146,"?"))))))))</f>
        <v>1</v>
      </c>
      <c r="F98" s="2065">
        <f>IF(M36="",'Parameter tables'!J140,IF(M36="a",'Parameter tables'!J140,IF(M36="b",'Parameter tables'!J140,IF(M36="c",'Parameter tables'!J142,IF(M36="d",'Parameter tables'!J143,IF(M36="e",'Parameter tables'!J144,IF(M36="f",'Parameter tables'!J145,IF(M36="g",'Parameter tables'!J146,"?"))))))))</f>
        <v>1</v>
      </c>
      <c r="G98" s="1619" t="str">
        <f>IF(M26="",'Parameter tables'!A141,IF(M26="a",'Parameter tables'!A140,IF(M26="b",'Parameter tables'!A141,IF(M26="c",'Parameter tables'!A142,IF(M26="d",'Parameter tables'!A143,IF(M26="e",'Parameter tables'!A144,IF(M26="f",'Parameter tables'!A145,IF(M26="g",'Parameter tables'!A146,"?"))))))))</f>
        <v>damp</v>
      </c>
      <c r="H98" s="1620" t="str">
        <f>IF(M36="",'Parameter tables'!A141,IF(M36="a",'Parameter tables'!A140,IF(M36="b",'Parameter tables'!A141,IF(M36="c",'Parameter tables'!A142,IF(M36="d",'Parameter tables'!A143,IF(M36="e",'Parameter tables'!A144,IF(M36="f",'Parameter tables'!A145,IF(M36="g",'Parameter tables'!A146,"?"))))))))</f>
        <v>damp</v>
      </c>
      <c r="I98" s="1514"/>
      <c r="J98" s="1621" t="s">
        <v>120</v>
      </c>
      <c r="K98" s="1622"/>
      <c r="L98" s="1523" t="s">
        <v>94</v>
      </c>
      <c r="M98" s="1623">
        <f>IF(M26="",'Parameter tables'!H141,IF(M26="a",'Parameter tables'!H140,IF(M26="b",'Parameter tables'!H141,IF(M26="c",'Parameter tables'!H142,IF(M26="d",'Parameter tables'!H143,IF(M26="e",'Parameter tables'!H144,IF(M26="f",'Parameter tables'!H144,"?")))))))</f>
        <v>10</v>
      </c>
      <c r="N98" s="1624"/>
      <c r="O98" s="1624"/>
      <c r="P98" s="1624"/>
      <c r="Q98" s="1625"/>
      <c r="R98" s="1610"/>
      <c r="S98" s="1545" t="s">
        <v>109</v>
      </c>
      <c r="T98" s="1611">
        <f t="shared" si="0"/>
        <v>10</v>
      </c>
      <c r="U98" s="1547" t="s">
        <v>126</v>
      </c>
      <c r="V98" s="704">
        <v>4</v>
      </c>
      <c r="W98" s="726" t="s">
        <v>169</v>
      </c>
      <c r="X98" s="726"/>
      <c r="Y98" s="727"/>
      <c r="Z98" s="720"/>
      <c r="AA98" s="1494"/>
      <c r="AB98" s="1495"/>
      <c r="AC98" s="1495"/>
    </row>
    <row r="99" spans="1:29" ht="13.5" customHeight="1">
      <c r="A99" s="2815" t="s">
        <v>122</v>
      </c>
      <c r="B99" s="2981"/>
      <c r="C99" s="1548"/>
      <c r="D99" s="1626" t="s">
        <v>757</v>
      </c>
      <c r="E99" s="2071">
        <f>IF(M27="",'Parameter tables'!J154,IF(M27="a",'Parameter tables'!J152,IF(M27="b",'Parameter tables'!J152,IF(M27="c",'Parameter tables'!J154,IF(M27="d",'Parameter tables'!J155,IF(M27="e",'Parameter tables'!J158,IF(M27="f",'Parameter tables'!J159,IF(M27="g",'Parameter tables'!J160,IF(M27="h",'Parameter tables'!J161,IF(M27="i",'Parameter tables'!J162,""))))))))))</f>
        <v>1</v>
      </c>
      <c r="F99" s="2066" t="str">
        <f>IF(M28="f",'Parameter tables'!J167,IF(M28="g",'Parameter tables'!J168,IF(M28="h",'Parameter tables'!J169,IF(M28="i",'Parameter tables'!J170,""))))</f>
        <v/>
      </c>
      <c r="G99" s="1627" t="s">
        <v>758</v>
      </c>
      <c r="H99" s="1628"/>
      <c r="I99" s="1629" t="str">
        <f>IF(M22="","",IF(M22="i",'Parameter tables'!B115,IF(M22="k",'Parameter tables'!B116,IF(M22="m",'Parameter tables'!B117,IF(M22="o",'Parameter tables'!B119,"")))))</f>
        <v/>
      </c>
      <c r="J99" s="1630" t="s">
        <v>703</v>
      </c>
      <c r="K99" s="1631"/>
      <c r="L99" s="1617" t="s">
        <v>564</v>
      </c>
      <c r="M99" s="1516">
        <f>IF(M18="",-2,IF(M18="a",'Parameter tables'!H83,IF(M18="b",'Parameter tables'!H84,IF(M18="c",'Parameter tables'!H85,IF(M18="d",'Parameter tables'!H86,IF(M18="e",'Parameter tables'!H87,"?"))))))</f>
        <v>-2</v>
      </c>
      <c r="N99" s="1632" t="s">
        <v>702</v>
      </c>
      <c r="O99" s="1632"/>
      <c r="P99" s="1633"/>
      <c r="Q99" s="1625"/>
      <c r="R99" s="1610"/>
      <c r="S99" s="1545" t="s">
        <v>109</v>
      </c>
      <c r="T99" s="1611">
        <f t="shared" si="0"/>
        <v>4</v>
      </c>
      <c r="U99" s="1547" t="s">
        <v>126</v>
      </c>
      <c r="V99" s="704">
        <v>1</v>
      </c>
      <c r="W99" s="726" t="s">
        <v>410</v>
      </c>
      <c r="X99" s="726"/>
      <c r="Y99" s="727"/>
      <c r="Z99" s="720"/>
      <c r="AA99" s="1494"/>
      <c r="AB99" s="1495"/>
      <c r="AC99" s="1495"/>
    </row>
    <row r="100" spans="1:29" ht="15.75" customHeight="1">
      <c r="A100" s="2817"/>
      <c r="B100" s="2984"/>
      <c r="C100" s="1522"/>
      <c r="D100" s="1634" t="s">
        <v>759</v>
      </c>
      <c r="E100" s="1516" t="str">
        <f>IF(M27&lt;&gt;"d","",IF(AND(M27="d",E109&gt;20),'Parameter tables'!U155,IF(AND(M27="d",E109&gt;10),'Parameter tables'!S155,'Parameter tables'!Q155)))</f>
        <v/>
      </c>
      <c r="F100" s="2067" t="str">
        <f>IF(M27&lt;&gt;"d","",IF(AND(M27="d",E109&gt;20),'Parameter tables'!U155,IF(AND(M27="d",E109&gt;10),'Parameter tables'!S155,'Parameter tables'!Q155)))</f>
        <v/>
      </c>
      <c r="G100" s="1635" t="s">
        <v>669</v>
      </c>
      <c r="H100" s="1636"/>
      <c r="I100" s="3056" t="str">
        <f>IF(I97&lt;&gt;"",I97,IF(I94&lt;&gt;"",I94,IF(I99&lt;&gt;"",I99,"?")))</f>
        <v>Unaltered, fresh joint walls  // no filling</v>
      </c>
      <c r="J100" s="2900" t="s">
        <v>108</v>
      </c>
      <c r="K100" s="2901"/>
      <c r="L100" s="2902"/>
      <c r="M100" s="1637" t="str">
        <f>IF(M11="","",IF(M98="?","outside limit",M86+M87+M90+P94+M98+M99))</f>
        <v/>
      </c>
      <c r="N100" s="1638" t="str">
        <f>IF(M100="","",IF(M100="outside limit","",IF(M100&gt;V87,W87,IF(M100&gt;V88,W88,IF(M100&gt;V89,W89,IF(M100&gt;V90,W90,W91))))))</f>
        <v/>
      </c>
      <c r="O100" s="1639"/>
      <c r="P100" s="1640"/>
      <c r="Q100" s="1641"/>
      <c r="R100" s="1498"/>
      <c r="S100" s="1545" t="s">
        <v>109</v>
      </c>
      <c r="T100" s="1611">
        <f t="shared" si="0"/>
        <v>1</v>
      </c>
      <c r="U100" s="1547" t="s">
        <v>126</v>
      </c>
      <c r="V100" s="704">
        <v>0.1</v>
      </c>
      <c r="W100" s="725" t="s">
        <v>411</v>
      </c>
      <c r="X100" s="726"/>
      <c r="Y100" s="727"/>
      <c r="Z100" s="720"/>
      <c r="AA100" s="1494"/>
      <c r="AB100" s="1495"/>
      <c r="AC100" s="1495"/>
    </row>
    <row r="101" spans="1:29" ht="14.25" customHeight="1">
      <c r="B101" s="1642"/>
      <c r="C101" s="1643"/>
      <c r="D101" s="1644" t="s">
        <v>109</v>
      </c>
      <c r="E101" s="1645" t="str">
        <f>IF(M11="","",E87/E90*E93/E97*E98/E99)</f>
        <v/>
      </c>
      <c r="F101" s="2056" t="str">
        <f>IF(M28="","",F87/F90*F93/F97*F98/F99)</f>
        <v/>
      </c>
      <c r="G101" s="1569" t="str">
        <f>IF(E101="","",IF(E101&gt;$V$95,$W$95,IF(E101&gt;$V$96,$W$96,IF(E101&gt;$V$97,$W$97,IF(E101&gt;$V$98,$W$98,IF(E101&gt;$V$99,$W$99,IF(E101&gt;$V$100,$W$100,IF(E101&gt;$V$101,$W$101,$W$102))))))))</f>
        <v/>
      </c>
      <c r="H101" s="2048" t="str">
        <f>IF(F101="","",IF(F101&gt;$V$95,$W$95,IF(F101&gt;$V$96,$W$96,IF(F101&gt;$V$97,$W$97,IF(F101&gt;$V$98,$W$98,IF(F101&gt;$V$99,$W$99,IF(F101&gt;$V$100,$W$100,IF(F101&gt;$V$101,$W$101,$W$102))))))))</f>
        <v/>
      </c>
      <c r="I101" s="3056"/>
      <c r="J101" s="2942" t="s">
        <v>817</v>
      </c>
      <c r="K101" s="2807" t="str">
        <f>IF(M100="","",IF(M28&lt;&gt;"","Weak zone: RMR limit and support is unclear",IF(OR(M27="e",M27="f",M27="g"),"Outside stress limit of RMR?",IF(OR(M27="h",M27="i"),"RMR does not include squeezing",IF(M26="e","Shotcrete spraying may be difficult",IF(OR(M26="e",M26="f"),"Inflowing water: Difficult to apply shotcrete",IF(M26="g","Water inburst is outside limit of RMR","")))))))</f>
        <v/>
      </c>
      <c r="L101" s="2807"/>
      <c r="M101" s="2807"/>
      <c r="N101" s="2807"/>
      <c r="O101" s="2807"/>
      <c r="P101" s="2807"/>
      <c r="Q101" s="2808"/>
      <c r="R101" s="1498"/>
      <c r="S101" s="1545" t="s">
        <v>109</v>
      </c>
      <c r="T101" s="1611">
        <f>V100</f>
        <v>0.1</v>
      </c>
      <c r="U101" s="1547" t="s">
        <v>126</v>
      </c>
      <c r="V101" s="704">
        <v>0.01</v>
      </c>
      <c r="W101" s="728" t="s">
        <v>414</v>
      </c>
      <c r="X101" s="729"/>
      <c r="Y101" s="727"/>
      <c r="Z101" s="720"/>
      <c r="AA101" s="1494"/>
      <c r="AB101" s="1495"/>
      <c r="AC101" s="1495"/>
    </row>
    <row r="102" spans="1:29" ht="14.25" customHeight="1">
      <c r="A102" s="2053"/>
      <c r="B102" s="2054"/>
      <c r="C102" s="2047" t="s">
        <v>1203</v>
      </c>
      <c r="D102" s="1648" t="s">
        <v>946</v>
      </c>
      <c r="E102" s="1649" t="s">
        <v>74</v>
      </c>
      <c r="F102" s="2068" t="str">
        <f>IF(AND(M11&lt;&gt;"",M28&lt;&gt;""),10^((F143*LOG(F101)+LOG(E101))/(F143+1)),"")</f>
        <v/>
      </c>
      <c r="G102" s="2046"/>
      <c r="H102" s="2049" t="str">
        <f>IF(F102="","",IF(F102&gt;$V$95,$W$95,IF(F102&gt;$V$96,$W$96,IF(F102&gt;$V$97,$W$97,IF(F102&gt;$V$98,$W$98,IF(F102&gt;$V$99,$W$99,IF(F102&gt;$V$100,$W$100,IF(F102&gt;$V$101,$W$101,$W$102))))))))</f>
        <v/>
      </c>
      <c r="I102" s="1498"/>
      <c r="J102" s="2943"/>
      <c r="K102" s="2809"/>
      <c r="L102" s="2809"/>
      <c r="M102" s="2809"/>
      <c r="N102" s="2809"/>
      <c r="O102" s="2809"/>
      <c r="P102" s="2809"/>
      <c r="Q102" s="2810"/>
      <c r="R102" s="1498"/>
      <c r="S102" s="1576" t="s">
        <v>109</v>
      </c>
      <c r="T102" s="1650">
        <f>V101</f>
        <v>0.01</v>
      </c>
      <c r="U102" s="1578" t="s">
        <v>126</v>
      </c>
      <c r="V102" s="702">
        <v>1E-3</v>
      </c>
      <c r="W102" s="730" t="s">
        <v>415</v>
      </c>
      <c r="X102" s="731"/>
      <c r="Y102" s="732"/>
      <c r="Z102" s="724"/>
      <c r="AA102" s="1494"/>
      <c r="AB102" s="1495"/>
      <c r="AC102" s="1495"/>
    </row>
    <row r="103" spans="1:29" ht="14.25" customHeight="1">
      <c r="A103" s="2782" t="s">
        <v>133</v>
      </c>
      <c r="B103" s="2783"/>
      <c r="C103" s="2784"/>
      <c r="D103" s="1652" t="str">
        <f>IF(E103=F101,"Qz =",IF(E103=E101,"Q =","Qa ="))</f>
        <v>Qz =</v>
      </c>
      <c r="E103" s="2976" t="str">
        <f>IF(AND(M11&lt;&gt;"",M28&lt;&gt;"",P40&lt;&gt;""),F102,IF(AND(M11="",M28&lt;&gt;""),F101,E101))</f>
        <v/>
      </c>
      <c r="F103" s="2977"/>
      <c r="G103" s="1581" t="str">
        <f>IF(E103="","",IF(E103&gt;$V$95,$W$95,IF(E103&gt;$V$96,$W$96,IF(E103&gt;$V$97,$W$97,IF(E103&gt;$V$98,$W$98,IF(E103&gt;$V$99,$W$99,IF(E103&gt;$V$100,$W$100,IF(E103&gt;$V$101,$W$101,$W$102))))))))</f>
        <v/>
      </c>
      <c r="H103" s="1653"/>
      <c r="I103" s="1498"/>
      <c r="J103" s="2903" t="s">
        <v>287</v>
      </c>
      <c r="K103" s="2904"/>
      <c r="L103" s="1654" t="s">
        <v>286</v>
      </c>
      <c r="M103" s="1536" t="str">
        <f>IF(M100="","",IF(M100&lt;=50,"",2*M100-100))</f>
        <v/>
      </c>
      <c r="N103" s="1655" t="s">
        <v>317</v>
      </c>
      <c r="O103" s="1655"/>
      <c r="P103" s="1656"/>
      <c r="Q103" s="1657"/>
      <c r="R103" s="1498"/>
      <c r="S103" s="1514"/>
      <c r="T103" s="1514"/>
      <c r="U103" s="1514"/>
      <c r="AA103" s="1494"/>
      <c r="AB103" s="1495"/>
      <c r="AC103" s="1495"/>
    </row>
    <row r="104" spans="1:29" ht="14.25" customHeight="1">
      <c r="A104" s="2782"/>
      <c r="B104" s="2783"/>
      <c r="C104" s="2784"/>
      <c r="D104" s="1658" t="s">
        <v>110</v>
      </c>
      <c r="E104" s="1659" t="str">
        <f>IF(M11="","",E101*F118/100)</f>
        <v/>
      </c>
      <c r="F104" s="2069" t="str">
        <f>IF(M28="","",F101*F137/100)</f>
        <v/>
      </c>
      <c r="G104" s="1660" t="s">
        <v>344</v>
      </c>
      <c r="H104" s="1661"/>
      <c r="I104" s="1498"/>
      <c r="J104" s="2905"/>
      <c r="K104" s="2906"/>
      <c r="L104" s="1662" t="s">
        <v>286</v>
      </c>
      <c r="M104" s="1516" t="str">
        <f>IF(M100="?","?",IF(M100&gt;50,"",10^((M100-10)/40)))</f>
        <v/>
      </c>
      <c r="N104" s="1632" t="s">
        <v>318</v>
      </c>
      <c r="O104" s="1632"/>
      <c r="P104" s="1518"/>
      <c r="Q104" s="1663"/>
      <c r="R104" s="1498"/>
      <c r="S104" s="1595" t="s">
        <v>138</v>
      </c>
      <c r="T104" s="1596"/>
      <c r="U104" s="1498"/>
      <c r="V104" s="1664"/>
      <c r="W104" s="61"/>
      <c r="X104" s="61"/>
      <c r="Y104" s="1495"/>
      <c r="Z104" s="1494"/>
      <c r="AA104" s="1494"/>
      <c r="AB104" s="1495"/>
      <c r="AC104" s="1495"/>
    </row>
    <row r="105" spans="1:29" ht="15">
      <c r="A105" s="2053"/>
      <c r="B105" s="2054"/>
      <c r="C105" s="1651"/>
      <c r="D105" s="2070" t="s">
        <v>1205</v>
      </c>
      <c r="E105" s="1665" t="str">
        <f>IF(M11="","",IF(E101&gt;10,E101*5,IF(E101&gt;0.1,2.5*E101,E101)))</f>
        <v/>
      </c>
      <c r="F105" s="2056" t="str">
        <f>IF(M28="","",IF(F101&gt;10,F101*5,IF(F101&gt;0.1,2.5*F101,F101)))</f>
        <v/>
      </c>
      <c r="G105" s="1609"/>
      <c r="H105" s="1666"/>
      <c r="I105" s="1498"/>
      <c r="J105" s="1514"/>
      <c r="K105" s="1514"/>
      <c r="L105" s="1514"/>
      <c r="M105" s="1514"/>
      <c r="N105" s="1514"/>
      <c r="O105" s="1514"/>
      <c r="P105" s="1566"/>
      <c r="Q105" s="1566"/>
      <c r="R105" s="1"/>
      <c r="S105" s="1532" t="s">
        <v>112</v>
      </c>
      <c r="T105" s="1667">
        <v>100</v>
      </c>
      <c r="U105" s="1534" t="s">
        <v>53</v>
      </c>
      <c r="V105" s="705">
        <v>40</v>
      </c>
      <c r="W105" s="713" t="s">
        <v>416</v>
      </c>
      <c r="X105" s="714"/>
      <c r="Y105" s="715"/>
      <c r="Z105" s="716"/>
      <c r="AA105" s="1494"/>
      <c r="AB105" s="1495"/>
      <c r="AC105" s="1495"/>
    </row>
    <row r="106" spans="1:29" ht="14.25" customHeight="1">
      <c r="A106" s="2055"/>
      <c r="B106" s="1668"/>
      <c r="C106" s="1669"/>
      <c r="D106" s="1670" t="s">
        <v>1204</v>
      </c>
      <c r="E106" s="2976" t="e">
        <f>IF(E103&gt;10,E103*5,IF(E103&gt;0.1,2.5*E103,E103))</f>
        <v>#VALUE!</v>
      </c>
      <c r="F106" s="2977"/>
      <c r="G106" s="1671" t="s">
        <v>696</v>
      </c>
      <c r="H106" s="1672"/>
      <c r="I106" s="1673"/>
      <c r="J106" s="2050"/>
      <c r="K106" s="1514"/>
      <c r="L106" s="1514"/>
      <c r="M106" s="1514"/>
      <c r="N106" s="1514"/>
      <c r="O106" s="1514"/>
      <c r="P106" s="1566"/>
      <c r="Q106" s="1566"/>
      <c r="R106" s="1674"/>
      <c r="S106" s="1545" t="s">
        <v>112</v>
      </c>
      <c r="T106" s="1675">
        <f>V105</f>
        <v>40</v>
      </c>
      <c r="U106" s="1547" t="s">
        <v>53</v>
      </c>
      <c r="V106" s="704">
        <v>10</v>
      </c>
      <c r="W106" s="718" t="s">
        <v>386</v>
      </c>
      <c r="X106" s="718"/>
      <c r="Y106" s="719"/>
      <c r="Z106" s="720"/>
      <c r="AA106" s="1494"/>
      <c r="AB106" s="1495"/>
      <c r="AC106" s="1495"/>
    </row>
    <row r="107" spans="1:29" ht="14.25" customHeight="1">
      <c r="A107" s="2815" t="s">
        <v>132</v>
      </c>
      <c r="B107" s="2981"/>
      <c r="C107" s="1676"/>
      <c r="D107" s="1677" t="s">
        <v>483</v>
      </c>
      <c r="E107" s="1511">
        <f>IF(H46="",1,H46)</f>
        <v>1</v>
      </c>
      <c r="F107" s="1568"/>
      <c r="G107" s="1678"/>
      <c r="H107" s="1628"/>
      <c r="I107" s="1679"/>
      <c r="J107" s="255"/>
      <c r="K107" s="1681"/>
      <c r="L107" s="1682"/>
      <c r="M107" s="1679"/>
      <c r="N107" s="1679"/>
      <c r="O107" s="1679"/>
      <c r="P107" s="1679"/>
      <c r="Q107" s="1679"/>
      <c r="R107" s="1674"/>
      <c r="S107" s="1545" t="s">
        <v>112</v>
      </c>
      <c r="T107" s="1675">
        <f>V106</f>
        <v>10</v>
      </c>
      <c r="U107" s="1547" t="s">
        <v>53</v>
      </c>
      <c r="V107" s="704">
        <v>1</v>
      </c>
      <c r="W107" s="717" t="s">
        <v>367</v>
      </c>
      <c r="X107" s="718"/>
      <c r="Y107" s="719"/>
      <c r="Z107" s="720"/>
      <c r="AA107" s="1494"/>
      <c r="AB107" s="1495"/>
      <c r="AC107" s="1495"/>
    </row>
    <row r="108" spans="1:29">
      <c r="A108" s="2982"/>
      <c r="B108" s="2983"/>
      <c r="C108" s="1676"/>
      <c r="D108" s="1607" t="s">
        <v>136</v>
      </c>
      <c r="E108" s="1683">
        <f>C44</f>
        <v>12</v>
      </c>
      <c r="F108" s="1684"/>
      <c r="G108" s="1685" t="s">
        <v>589</v>
      </c>
      <c r="H108" s="1686">
        <f>E108/E107</f>
        <v>12</v>
      </c>
      <c r="I108" s="1498"/>
      <c r="R108" s="286"/>
      <c r="S108" s="1545" t="s">
        <v>112</v>
      </c>
      <c r="T108" s="1675">
        <f>V107</f>
        <v>1</v>
      </c>
      <c r="U108" s="1547" t="s">
        <v>53</v>
      </c>
      <c r="V108" s="704">
        <v>0.4</v>
      </c>
      <c r="W108" s="718" t="s">
        <v>417</v>
      </c>
      <c r="X108" s="718"/>
      <c r="Y108" s="719"/>
      <c r="Z108" s="720"/>
      <c r="AA108" s="1494"/>
      <c r="AB108" s="1495"/>
      <c r="AC108" s="1495"/>
    </row>
    <row r="109" spans="1:29" ht="14.25" customHeight="1">
      <c r="A109" s="2817"/>
      <c r="B109" s="2984"/>
      <c r="C109" s="1687"/>
      <c r="D109" s="1561" t="s">
        <v>195</v>
      </c>
      <c r="E109" s="1688">
        <f>IF(N2="",M79,N2)</f>
        <v>4</v>
      </c>
      <c r="F109" s="1689"/>
      <c r="G109" s="1690" t="s">
        <v>632</v>
      </c>
      <c r="H109" s="1691">
        <f>E109/E107</f>
        <v>4</v>
      </c>
      <c r="I109" s="1542"/>
      <c r="R109" s="286"/>
      <c r="S109" s="1545" t="s">
        <v>112</v>
      </c>
      <c r="T109" s="1675">
        <f>V108</f>
        <v>0.4</v>
      </c>
      <c r="U109" s="1547" t="s">
        <v>53</v>
      </c>
      <c r="V109" s="704">
        <v>0.1</v>
      </c>
      <c r="W109" s="717" t="s">
        <v>418</v>
      </c>
      <c r="X109" s="718"/>
      <c r="Y109" s="719"/>
      <c r="Z109" s="720"/>
      <c r="AA109" s="1494"/>
      <c r="AB109" s="1495"/>
      <c r="AC109" s="1495"/>
    </row>
    <row r="110" spans="1:29" ht="13.5" customHeight="1">
      <c r="A110" s="2950" t="s">
        <v>818</v>
      </c>
      <c r="B110" s="2951"/>
      <c r="C110" s="2952"/>
      <c r="D110" s="1692" t="str">
        <f>IF(M28&lt;&gt;"","Weak zone may need further evaluations","")</f>
        <v/>
      </c>
      <c r="E110" s="1646"/>
      <c r="F110" s="1646"/>
      <c r="G110" s="1646"/>
      <c r="H110" s="1647"/>
      <c r="I110" s="1542"/>
      <c r="R110" s="1"/>
      <c r="S110" s="1576" t="s">
        <v>112</v>
      </c>
      <c r="T110" s="1693">
        <f>V109</f>
        <v>0.1</v>
      </c>
      <c r="U110" s="1578" t="s">
        <v>53</v>
      </c>
      <c r="V110" s="702">
        <v>0.01</v>
      </c>
      <c r="W110" s="721" t="s">
        <v>419</v>
      </c>
      <c r="X110" s="722"/>
      <c r="Y110" s="723"/>
      <c r="Z110" s="724"/>
      <c r="AA110" s="1494"/>
      <c r="AB110" s="1495"/>
      <c r="AC110" s="1495"/>
    </row>
    <row r="111" spans="1:29" ht="15" customHeight="1">
      <c r="A111" s="2953"/>
      <c r="B111" s="2954"/>
      <c r="C111" s="2955"/>
      <c r="D111" s="1694" t="str">
        <f>IF(E103="","",IF(OR(H108&gt;46*E103^0.18,H108&gt;63*E103^0.06),"Tunnel span outside limit",IF(OR(E109&gt;46*E106^0.18,E109&gt;63*E106^0.06),"Wall height outside limit",IF(E103&lt;0.1,"Potential limitations when Q &lt; 0.1",IF(OR(M27="h",M27="i"),"Potential limitations in design of squeezing ground","")))))</f>
        <v/>
      </c>
      <c r="E111" s="1694"/>
      <c r="F111" s="1694"/>
      <c r="G111" s="1694"/>
      <c r="H111" s="1695"/>
      <c r="I111" s="1542"/>
      <c r="R111" s="1696"/>
      <c r="S111" s="826"/>
      <c r="T111" s="826"/>
      <c r="AA111" s="1494"/>
      <c r="AB111" s="1495"/>
      <c r="AC111" s="1495"/>
    </row>
    <row r="112" spans="1:29" ht="15" customHeight="1">
      <c r="A112" s="2956"/>
      <c r="B112" s="2957"/>
      <c r="C112" s="2958"/>
      <c r="D112" s="1697" t="str">
        <f>IF(M26="e","Gushing; shotcrete spraying may be difficult",IF(OR(M26="f",M26="g"),"High water inflow: Shotcrete spraying is difficult / impossible",""))</f>
        <v/>
      </c>
      <c r="E112" s="1698"/>
      <c r="F112" s="1699"/>
      <c r="G112" s="1699"/>
      <c r="H112" s="1700"/>
      <c r="I112" s="1542"/>
      <c r="R112" s="1696"/>
      <c r="S112" s="1701" t="s">
        <v>174</v>
      </c>
      <c r="T112" s="1701"/>
      <c r="U112" s="1701"/>
      <c r="V112" s="1701"/>
      <c r="W112" s="1701"/>
      <c r="X112" s="1701"/>
      <c r="Y112" s="1701"/>
      <c r="Z112" s="1494"/>
      <c r="AA112" s="1494"/>
      <c r="AB112" s="1495"/>
      <c r="AC112" s="1495"/>
    </row>
    <row r="113" spans="1:29" ht="15" customHeight="1">
      <c r="A113" s="1702"/>
      <c r="B113" s="1703"/>
      <c r="C113" s="1704"/>
      <c r="D113" s="1523" t="s">
        <v>464</v>
      </c>
      <c r="E113" s="1705" t="str">
        <f>IF(E101="","",IF(E101&lt;1,"   -",25*LOG(E101)))</f>
        <v/>
      </c>
      <c r="F113" s="1706" t="s">
        <v>760</v>
      </c>
      <c r="G113" s="1497"/>
      <c r="H113" s="1707"/>
      <c r="I113" s="1498"/>
      <c r="J113" s="826" t="s">
        <v>811</v>
      </c>
      <c r="K113" s="2804" t="s">
        <v>1127</v>
      </c>
      <c r="L113" s="2804"/>
      <c r="M113" s="2804"/>
      <c r="N113" s="1708" t="s">
        <v>815</v>
      </c>
      <c r="O113" s="1708"/>
      <c r="P113" s="1212"/>
      <c r="R113" s="1709"/>
      <c r="S113" s="1710"/>
      <c r="T113" s="1533" t="s">
        <v>199</v>
      </c>
      <c r="U113" s="1534" t="s">
        <v>149</v>
      </c>
      <c r="V113" s="705">
        <v>10</v>
      </c>
      <c r="W113" s="713" t="s">
        <v>408</v>
      </c>
      <c r="X113" s="714"/>
      <c r="Y113" s="715"/>
      <c r="Z113" s="716"/>
      <c r="AA113" s="1494"/>
      <c r="AB113" s="1495"/>
      <c r="AC113" s="1495"/>
    </row>
    <row r="114" spans="1:29" ht="14.25" customHeight="1" thickBot="1">
      <c r="A114" s="1514"/>
      <c r="B114" s="1514"/>
      <c r="C114" s="1514"/>
      <c r="D114" s="1679"/>
      <c r="E114" s="1679"/>
      <c r="F114" s="1514"/>
      <c r="G114" s="1514"/>
      <c r="H114" s="1514"/>
      <c r="I114" s="1498"/>
      <c r="R114" s="1"/>
      <c r="S114" s="1545" t="s">
        <v>137</v>
      </c>
      <c r="T114" s="1675">
        <f>V113</f>
        <v>10</v>
      </c>
      <c r="U114" s="1547" t="s">
        <v>53</v>
      </c>
      <c r="V114" s="704">
        <v>4</v>
      </c>
      <c r="W114" s="717" t="s">
        <v>409</v>
      </c>
      <c r="X114" s="718"/>
      <c r="Y114" s="719"/>
      <c r="Z114" s="720"/>
      <c r="AA114" s="1494"/>
      <c r="AB114" s="1495"/>
      <c r="AC114" s="1495"/>
    </row>
    <row r="115" spans="1:29" ht="14.25" customHeight="1" thickBot="1">
      <c r="A115" s="1711"/>
      <c r="B115" s="1711"/>
      <c r="C115" s="1712"/>
      <c r="D115" s="1713"/>
      <c r="E115" s="1713"/>
      <c r="F115" s="1713"/>
      <c r="G115" s="1714"/>
      <c r="H115" s="2801" t="s">
        <v>403</v>
      </c>
      <c r="I115" s="2802"/>
      <c r="J115" s="2803"/>
      <c r="K115" s="1715"/>
      <c r="L115" s="1715"/>
      <c r="M115" s="1715"/>
      <c r="N115" s="1715"/>
      <c r="O115" s="1715"/>
      <c r="P115" s="1715"/>
      <c r="Q115" s="1715"/>
      <c r="R115" s="1498"/>
      <c r="S115" s="1545" t="s">
        <v>137</v>
      </c>
      <c r="T115" s="1675">
        <f>V114</f>
        <v>4</v>
      </c>
      <c r="U115" s="1547" t="s">
        <v>53</v>
      </c>
      <c r="V115" s="704">
        <v>1</v>
      </c>
      <c r="W115" s="718" t="s">
        <v>169</v>
      </c>
      <c r="X115" s="718"/>
      <c r="Y115" s="719"/>
      <c r="Z115" s="720"/>
      <c r="AA115" s="1494"/>
      <c r="AB115" s="1495"/>
      <c r="AC115" s="1495"/>
    </row>
    <row r="116" spans="1:29">
      <c r="A116" s="1514"/>
      <c r="B116" s="1595" t="s">
        <v>630</v>
      </c>
      <c r="C116" s="1595"/>
      <c r="D116" s="1595"/>
      <c r="E116" s="1595"/>
      <c r="F116" s="1595"/>
      <c r="G116" s="1595"/>
      <c r="H116" s="1716"/>
      <c r="I116" s="1498"/>
      <c r="J116" s="1520" t="s">
        <v>713</v>
      </c>
      <c r="K116" s="1520"/>
      <c r="L116" s="1520"/>
      <c r="M116" s="1520"/>
      <c r="N116" s="1520"/>
      <c r="O116" s="1520"/>
      <c r="P116" s="1520"/>
      <c r="Q116" s="1520"/>
      <c r="R116" s="1498"/>
      <c r="S116" s="1545" t="s">
        <v>137</v>
      </c>
      <c r="T116" s="1675">
        <f>V115</f>
        <v>1</v>
      </c>
      <c r="U116" s="1547" t="s">
        <v>53</v>
      </c>
      <c r="V116" s="704">
        <v>0.4</v>
      </c>
      <c r="W116" s="718" t="s">
        <v>410</v>
      </c>
      <c r="X116" s="718"/>
      <c r="Y116" s="719"/>
      <c r="Z116" s="720"/>
      <c r="AA116" s="1494"/>
      <c r="AB116" s="1495"/>
      <c r="AC116" s="1495"/>
    </row>
    <row r="117" spans="1:29" ht="13.9" customHeight="1">
      <c r="A117" s="2795" t="s">
        <v>105</v>
      </c>
      <c r="B117" s="2796"/>
      <c r="C117" s="2796"/>
      <c r="D117" s="2796"/>
      <c r="E117" s="2797"/>
      <c r="F117" s="1718" t="s">
        <v>106</v>
      </c>
      <c r="G117" s="2805" t="s">
        <v>237</v>
      </c>
      <c r="H117" s="2806"/>
      <c r="I117" s="1498"/>
      <c r="J117" s="2795" t="s">
        <v>105</v>
      </c>
      <c r="K117" s="2796"/>
      <c r="L117" s="2797"/>
      <c r="M117" s="1717" t="s">
        <v>106</v>
      </c>
      <c r="N117" s="2805" t="s">
        <v>237</v>
      </c>
      <c r="O117" s="2796"/>
      <c r="P117" s="2796"/>
      <c r="Q117" s="2806"/>
      <c r="R117" s="1498"/>
      <c r="S117" s="1545" t="s">
        <v>137</v>
      </c>
      <c r="T117" s="1675">
        <f>V116</f>
        <v>0.4</v>
      </c>
      <c r="U117" s="1547" t="s">
        <v>53</v>
      </c>
      <c r="V117" s="704">
        <v>0.1</v>
      </c>
      <c r="W117" s="717" t="s">
        <v>411</v>
      </c>
      <c r="X117" s="718"/>
      <c r="Y117" s="719"/>
      <c r="Z117" s="720"/>
      <c r="AA117" s="1494"/>
      <c r="AB117" s="1495"/>
      <c r="AC117" s="1495"/>
    </row>
    <row r="118" spans="1:29">
      <c r="A118" s="2821" t="s">
        <v>131</v>
      </c>
      <c r="B118" s="2922"/>
      <c r="C118" s="2922"/>
      <c r="D118" s="2822"/>
      <c r="E118" s="1719" t="s">
        <v>763</v>
      </c>
      <c r="F118" s="1720">
        <f>IF(M10="",'Parameter tables'!F14,IF(M10="a",'Parameter tables'!L9,IF(M10="b",'Parameter tables'!L10,IF(M10="c",'Parameter tables'!L11,IF(M10="d",'Parameter tables'!L12,IF(M10="e",'Parameter tables'!L13,IF(M10="f",'Parameter tables'!L14,IF(M10="g",'Parameter tables'!L15,IF(M10="h",'Parameter tables'!L16,IF(M10="i",'Parameter tables'!L17,""))))))))))</f>
        <v>100</v>
      </c>
      <c r="G118" s="1614" t="str">
        <f>IF(M10="","MPa","MPa")</f>
        <v>MPa</v>
      </c>
      <c r="H118" s="1721" t="str">
        <f>IF(M10="",'Parameter tables'!A14,IF(M10="b",'Parameter tables'!A10,IF(M10="c",'Parameter tables'!A11,IF(M10="d",'Parameter tables'!A12,IF(M10="e",'Parameter tables'!A13,IF(M10="f",'Parameter tables'!A14,IF(M10="g",'Parameter tables'!A15,IF(M10="h",'Parameter tables'!A16,IF(M10="i",'Parameter tables'!A17,"")))))))))</f>
        <v>medium</v>
      </c>
      <c r="I118" s="1498"/>
      <c r="J118" s="2919" t="s">
        <v>310</v>
      </c>
      <c r="K118" s="2921"/>
      <c r="L118" s="1567" t="s">
        <v>134</v>
      </c>
      <c r="M118" s="1722">
        <f>IF(L2="",M78,L2)</f>
        <v>12</v>
      </c>
      <c r="N118" s="1543" t="str">
        <f>IF(L2="","assumed (no input given)","")</f>
        <v/>
      </c>
      <c r="O118" s="1597"/>
      <c r="P118" s="1597"/>
      <c r="Q118" s="1598"/>
      <c r="R118" s="1520"/>
      <c r="S118" s="1576" t="s">
        <v>137</v>
      </c>
      <c r="T118" s="1693">
        <f>V117</f>
        <v>0.1</v>
      </c>
      <c r="U118" s="1578" t="s">
        <v>53</v>
      </c>
      <c r="V118" s="702">
        <v>0.01</v>
      </c>
      <c r="W118" s="721" t="s">
        <v>414</v>
      </c>
      <c r="X118" s="722"/>
      <c r="Y118" s="723"/>
      <c r="Z118" s="724"/>
      <c r="AA118" s="1494"/>
      <c r="AB118" s="1495"/>
      <c r="AC118" s="1495"/>
    </row>
    <row r="119" spans="1:29" ht="13.5" customHeight="1">
      <c r="A119" s="2815" t="s">
        <v>124</v>
      </c>
      <c r="B119" s="2981"/>
      <c r="C119" s="2981"/>
      <c r="D119" s="2816"/>
      <c r="E119" s="1567" t="s">
        <v>57</v>
      </c>
      <c r="F119" s="1723">
        <f>IF(M20="",1.25,IF(M20="a",'Parameter tables'!L91,IF(M20="b",'Parameter tables'!L92,IF(M20="c",'Parameter tables'!L93,IF(M20="d",'Parameter tables'!L94,IF(M20="e",'Parameter tables'!L95,IF(M20="f",'Parameter tables'!L96,IF(M20="g",'Parameter tables'!L97,""))))))))</f>
        <v>1.25</v>
      </c>
      <c r="G119" s="1724"/>
      <c r="H119" s="1725"/>
      <c r="I119" s="1498"/>
      <c r="J119" s="2911" t="s">
        <v>311</v>
      </c>
      <c r="K119" s="2912"/>
      <c r="L119" s="1617" t="s">
        <v>135</v>
      </c>
      <c r="M119" s="1726">
        <f>IF(N2="",4,N2)</f>
        <v>4</v>
      </c>
      <c r="N119" s="1727" t="str">
        <f>IF(N2="","assumed (no input given)","")</f>
        <v>assumed (no input given)</v>
      </c>
      <c r="O119" s="1612"/>
      <c r="P119" s="1612"/>
      <c r="Q119" s="1560"/>
      <c r="R119" s="1728"/>
      <c r="S119" s="1494"/>
      <c r="T119" s="1729"/>
      <c r="U119" s="1494"/>
      <c r="V119" s="1494"/>
      <c r="W119" s="1494"/>
      <c r="X119" s="1494"/>
      <c r="Y119" s="1494"/>
      <c r="Z119" s="1494"/>
      <c r="AA119" s="1494"/>
      <c r="AB119" s="1495"/>
      <c r="AC119" s="1495"/>
    </row>
    <row r="120" spans="1:29" ht="14.25" customHeight="1">
      <c r="A120" s="2982"/>
      <c r="B120" s="2983"/>
      <c r="C120" s="2983"/>
      <c r="D120" s="3000"/>
      <c r="E120" s="1580" t="s">
        <v>64</v>
      </c>
      <c r="F120" s="1730">
        <f>IF(M21="",1.4,IF(M21="a",'Parameter tables'!L99,IF(M21="b",'Parameter tables'!L100,IF(M21="c",'Parameter tables'!L101,IF(M21="d",'Parameter tables'!L102,IF(M21="e",'Parameter tables'!L103,IF(M21="f",'Parameter tables'!L104,"")))))))</f>
        <v>1.4</v>
      </c>
      <c r="G120" s="1731"/>
      <c r="H120" s="1732"/>
      <c r="I120" s="1498"/>
      <c r="J120" s="2815" t="s">
        <v>555</v>
      </c>
      <c r="K120" s="2816"/>
      <c r="L120" s="1567" t="s">
        <v>1113</v>
      </c>
      <c r="M120" s="1733" t="str">
        <f>IF(F131="","",M118/F131)</f>
        <v/>
      </c>
      <c r="N120" s="1734"/>
      <c r="O120" s="1734"/>
      <c r="P120" s="1734"/>
      <c r="Q120" s="1598"/>
      <c r="R120" s="1728"/>
      <c r="S120" s="1595" t="s">
        <v>167</v>
      </c>
      <c r="T120" s="1596"/>
      <c r="U120" s="1498"/>
      <c r="V120" s="1495"/>
      <c r="W120" s="1495"/>
      <c r="X120" s="1495"/>
      <c r="Y120" s="1495"/>
      <c r="Z120" s="1735"/>
      <c r="AA120" s="1735"/>
      <c r="AB120" s="1735"/>
      <c r="AC120" s="1736"/>
    </row>
    <row r="121" spans="1:29" ht="13.9" customHeight="1">
      <c r="A121" s="2817"/>
      <c r="B121" s="2984"/>
      <c r="C121" s="2984"/>
      <c r="D121" s="2818"/>
      <c r="E121" s="1737" t="s">
        <v>764</v>
      </c>
      <c r="F121" s="1669">
        <f>IF(OR(M22="i",M22="k",M22="m",M22="o"),1,F119*F120)</f>
        <v>1.75</v>
      </c>
      <c r="G121" s="1738" t="str">
        <f>IF(AND(E93=1,M22&lt;&gt;""),"for filled joints, Jr = 1","")</f>
        <v/>
      </c>
      <c r="H121" s="1739"/>
      <c r="I121" s="1498"/>
      <c r="J121" s="2817"/>
      <c r="K121" s="2818"/>
      <c r="L121" s="1617" t="s">
        <v>1114</v>
      </c>
      <c r="M121" s="1740" t="str">
        <f>IF(F131="","",M119/F131)</f>
        <v/>
      </c>
      <c r="N121" s="1727"/>
      <c r="O121" s="1612"/>
      <c r="P121" s="1612"/>
      <c r="Q121" s="1560"/>
      <c r="R121" s="1741"/>
      <c r="S121" s="1742"/>
      <c r="T121" s="1533" t="s">
        <v>239</v>
      </c>
      <c r="U121" s="1534" t="s">
        <v>150</v>
      </c>
      <c r="V121" s="705">
        <v>4</v>
      </c>
      <c r="W121" s="692" t="s">
        <v>420</v>
      </c>
      <c r="X121" s="693"/>
      <c r="Y121" s="694"/>
      <c r="Z121" s="706"/>
      <c r="AA121" s="1743"/>
      <c r="AB121" s="1736"/>
      <c r="AC121" s="1736"/>
    </row>
    <row r="122" spans="1:29" ht="14.25" customHeight="1">
      <c r="A122" s="2815" t="s">
        <v>123</v>
      </c>
      <c r="B122" s="2981"/>
      <c r="C122" s="2981"/>
      <c r="D122" s="2816"/>
      <c r="E122" s="2944" t="s">
        <v>71</v>
      </c>
      <c r="F122" s="1536">
        <f>IF(AND(M22="",M23=""),1,IF(M22="a",'Parameter tables'!L107,IF(M22="b",'Parameter tables'!L108,IF(M22="c",'Parameter tables'!L109,IF(M22="d",'Parameter tables'!L110,IF(M22="e",'Parameter tables'!L111,IF(M22="f",'Parameter tables'!L112,"")))))))</f>
        <v>1</v>
      </c>
      <c r="G122" s="1744" t="str">
        <f>IF(M23&lt;&gt;"","",IF(M22="",'Parameter tables'!A108,IF(M22="a",'Parameter tables'!A107,IF(M22="b",'Parameter tables'!A108,IF(M22="c",'Parameter tables'!A109,IF(M22="d",'Parameter tables'!A110,IF(M22="e",'Parameter tables'!A111,IF(M22="f",'Parameter tables'!A112,""))))))))</f>
        <v>fresh joint wall</v>
      </c>
      <c r="H122" s="1538"/>
      <c r="I122" s="1498"/>
      <c r="J122" s="2907" t="s">
        <v>128</v>
      </c>
      <c r="K122" s="2908"/>
      <c r="L122" s="1746" t="s">
        <v>96</v>
      </c>
      <c r="M122" s="1747">
        <f>IF(M26="",'Parameter tables'!L140,IF(M26="a",'Parameter tables'!L140,IF(M26="b",'Parameter tables'!L140,IF(M26="c",'Parameter tables'!L140,IF(M26="d",'Parameter tables'!L143,IF(M26="e",'Parameter tables'!L144,IF(M26="f",'Parameter tables'!L145,IF(M26="g",'Parameter tables'!L146,"?"))))))))</f>
        <v>1</v>
      </c>
      <c r="N122" s="1748"/>
      <c r="O122" s="1749"/>
      <c r="P122" s="1749"/>
      <c r="Q122" s="1750"/>
      <c r="R122" s="1751"/>
      <c r="S122" s="1545" t="s">
        <v>168</v>
      </c>
      <c r="T122" s="1546">
        <f>V121</f>
        <v>4</v>
      </c>
      <c r="U122" s="1547" t="s">
        <v>126</v>
      </c>
      <c r="V122" s="704">
        <v>10</v>
      </c>
      <c r="W122" s="696" t="s">
        <v>332</v>
      </c>
      <c r="X122" s="697"/>
      <c r="Y122" s="698"/>
      <c r="Z122" s="707"/>
      <c r="AA122" s="1743"/>
      <c r="AB122" s="1736"/>
      <c r="AC122" s="1736"/>
    </row>
    <row r="123" spans="1:29">
      <c r="A123" s="2982"/>
      <c r="B123" s="2983"/>
      <c r="C123" s="2983"/>
      <c r="D123" s="3000"/>
      <c r="E123" s="2945"/>
      <c r="F123" s="1554" t="str">
        <f>IF(M23="","",IF(M23="h",'Parameter tables'!L115,IF(M23="j",'Parameter tables'!L116,IF(M23="l",'Parameter tables'!L117,IF(M23="n",'Parameter tables'!L118,"")))))</f>
        <v/>
      </c>
      <c r="G123" s="1752" t="str">
        <f>IF(M23="","",IF(M23="h",'Parameter tables'!A115,IF(M23="j",'Parameter tables'!A116,IF(M23="l",'Parameter tables'!A117,IF(M23="n",'Parameter tables'!A118,IF(M23="p",'Parameter tables'!A119,""))))))</f>
        <v/>
      </c>
      <c r="H123" s="1555" t="str">
        <f>IF(F123="","","filling &lt; 5mm")</f>
        <v/>
      </c>
      <c r="I123" s="1498"/>
      <c r="J123" s="2819" t="s">
        <v>118</v>
      </c>
      <c r="K123" s="2820"/>
      <c r="L123" s="1753" t="s">
        <v>99</v>
      </c>
      <c r="M123" s="1754">
        <f>IF(M27="",'Parameter tables'!L154,IF(M27="a",'Parameter tables'!L152,IF(M27="b",'Parameter tables'!L153,IF(M27="c",'Parameter tables'!L154,IF(M27="d",'Parameter tables'!L155,IF(M27="e",'Parameter tables'!M158,IF(M27="f",'Parameter tables'!M159,IF(M27="g",'Parameter tables'!M160,1))))))))</f>
        <v>1</v>
      </c>
      <c r="N123" s="1755" t="s">
        <v>714</v>
      </c>
      <c r="O123" s="1755"/>
      <c r="P123" s="1755"/>
      <c r="Q123" s="1756"/>
      <c r="R123" s="1751"/>
      <c r="S123" s="1545" t="s">
        <v>168</v>
      </c>
      <c r="T123" s="1546">
        <f>V122</f>
        <v>10</v>
      </c>
      <c r="U123" s="1547" t="s">
        <v>126</v>
      </c>
      <c r="V123" s="704">
        <v>40</v>
      </c>
      <c r="W123" s="697" t="s">
        <v>169</v>
      </c>
      <c r="X123" s="697"/>
      <c r="Y123" s="698"/>
      <c r="Z123" s="708"/>
      <c r="AA123" s="1743"/>
      <c r="AB123" s="1736"/>
      <c r="AC123" s="1736"/>
    </row>
    <row r="124" spans="1:29" ht="13.9" customHeight="1">
      <c r="A124" s="2982"/>
      <c r="B124" s="2983"/>
      <c r="C124" s="2983"/>
      <c r="D124" s="3000"/>
      <c r="E124" s="2946"/>
      <c r="F124" s="1554" t="str">
        <f>IF(M23="","",IF(M23="i",'Parameter tables'!M115,IF(M23="k",'Parameter tables'!M116,IF(M23="m",'Parameter tables'!M117,IF(M23="o",'Parameter tables'!M118,IF(M23="o",'Parameter tables'!M118,""))))))</f>
        <v/>
      </c>
      <c r="G124" s="1752" t="str">
        <f>IF(M23="","",IF(M23="i",'Parameter tables'!A115,IF(M23="k",'Parameter tables'!A116,IF(M23="m",'Parameter tables'!A117,IF(M23="o",'Parameter tables'!A118,IF(M23="q",'Parameter tables'!A119,""))))))</f>
        <v/>
      </c>
      <c r="H124" s="2022" t="str">
        <f>IF(F124="","","filling &gt; 5mm")</f>
        <v/>
      </c>
      <c r="I124" s="1498"/>
      <c r="J124" s="2821"/>
      <c r="K124" s="2822"/>
      <c r="L124" s="1617" t="s">
        <v>765</v>
      </c>
      <c r="M124" s="1687" t="str">
        <f>IF(M27&lt;&gt;"d","",IF(AND(M27="d",M119&gt;20),'Parameter tables'!U156,IF(AND(M27="d",M119&gt;10),'Parameter tables'!S156,'Parameter tables'!Q156)))</f>
        <v/>
      </c>
      <c r="N124" s="1727" t="s">
        <v>306</v>
      </c>
      <c r="O124" s="1612"/>
      <c r="P124" s="1612"/>
      <c r="Q124" s="1560"/>
      <c r="R124" s="1751"/>
      <c r="S124" s="1545" t="s">
        <v>168</v>
      </c>
      <c r="T124" s="1546">
        <f>V123</f>
        <v>40</v>
      </c>
      <c r="U124" s="1547" t="s">
        <v>126</v>
      </c>
      <c r="V124" s="704">
        <v>100</v>
      </c>
      <c r="W124" s="696" t="s">
        <v>333</v>
      </c>
      <c r="X124" s="697"/>
      <c r="Y124" s="698"/>
      <c r="Z124" s="708"/>
      <c r="AA124" s="1743"/>
      <c r="AB124" s="1736"/>
      <c r="AC124" s="1736"/>
    </row>
    <row r="125" spans="1:29" ht="12.75" customHeight="1">
      <c r="A125" s="2817"/>
      <c r="B125" s="2984"/>
      <c r="C125" s="2984"/>
      <c r="D125" s="2818"/>
      <c r="E125" s="1757" t="s">
        <v>766</v>
      </c>
      <c r="F125" s="1758">
        <f>SUM(F122:F124)</f>
        <v>1</v>
      </c>
      <c r="G125" s="2811" t="str">
        <f>IF(G122&lt;&gt;"",G122,IF(G123&lt;&gt;"",G123,IF(G124&lt;&gt;"",G124,"?")))</f>
        <v>fresh joint wall</v>
      </c>
      <c r="H125" s="2812"/>
      <c r="I125" s="1760"/>
      <c r="J125" s="2909" t="s">
        <v>11</v>
      </c>
      <c r="K125" s="2910"/>
      <c r="L125" s="1737" t="s">
        <v>767</v>
      </c>
      <c r="M125" s="1668">
        <f>IF(M17&lt;&gt;"",Q125,IF(F130&gt;'Parameter tables'!O72,'Parameter tables'!L72,IF(F130&gt;'Parameter tables'!O73,'Parameter tables'!L73,IF(F130&gt;'Parameter tables'!O74,'Parameter tables'!L74,IF(F130&gt;'Parameter tables'!O75,'Parameter tables'!L75,IF(F130&gt;'Parameter tables'!O76,'Parameter tables'!L76,IF(F130&gt;'Parameter tables'!O77,'Parameter tables'!L77,IF(F130&gt;'Parameter tables'!O78,'Parameter tables'!L78,'Parameter tables'!L79))))))))</f>
        <v>6</v>
      </c>
      <c r="N125" s="1761"/>
      <c r="O125" s="1762"/>
      <c r="P125" s="1763" t="str">
        <f>IF(Q125="","","from Nj input =")</f>
        <v/>
      </c>
      <c r="Q125" s="1764" t="str">
        <f>IF(M17="","",IF(M17="a",'Parameter tables'!L72,IF(M17="b",'Parameter tables'!L73,IF(M17="c",'Parameter tables'!L74,IF(M17="d",'Parameter tables'!L75,IF(M17="e",'Parameter tables'!L76,IF(M17="f",'Parameter tables'!L77,IF(M17="g",'Parameter tables'!L78,IF(M17="h",'Parameter tables'!L79,IF(M17="i",'Parameter tables'!L80,""))))))))))</f>
        <v/>
      </c>
      <c r="R125" s="1765"/>
      <c r="S125" s="1545" t="s">
        <v>168</v>
      </c>
      <c r="T125" s="1546">
        <f>V124</f>
        <v>100</v>
      </c>
      <c r="U125" s="1547" t="s">
        <v>126</v>
      </c>
      <c r="V125" s="704">
        <v>400</v>
      </c>
      <c r="W125" s="696" t="s">
        <v>520</v>
      </c>
      <c r="X125" s="697"/>
      <c r="Y125" s="698"/>
      <c r="Z125" s="708"/>
      <c r="AA125" s="1743"/>
      <c r="AB125" s="1736"/>
      <c r="AC125" s="1736"/>
    </row>
    <row r="126" spans="1:29" ht="12.75" customHeight="1">
      <c r="A126" s="2919" t="s">
        <v>458</v>
      </c>
      <c r="B126" s="2920"/>
      <c r="C126" s="2920"/>
      <c r="D126" s="2921"/>
      <c r="E126" s="1766" t="s">
        <v>76</v>
      </c>
      <c r="F126" s="1767">
        <f>IF(M24="",1,IF(M24="a",'Parameter tables'!L123,IF(M24="b",'Parameter tables'!L124,IF(M24="c",'Parameter tables'!L125,IF(M24="d",'Parameter tables'!L126,IF(M24="e",'Parameter tables'!L127,IF(M24="f",'Parameter tables'!L128,IF(M24="g",'Parameter tables'!L129,"?"))))))))</f>
        <v>1</v>
      </c>
      <c r="G126" s="1768" t="str">
        <f>IF(M24="",'Parameter tables'!A127,IF(M24="a",'Parameter tables'!A123,IF(M24="b",'Parameter tables'!A124,IF(M24="c",'Parameter tables'!A125,IF(M24="d",'Parameter tables'!A126,IF(M24="e",'Parameter tables'!A127,IF(M24="f",'Parameter tables'!A128,IF(M24="g",'Parameter tables'!A129,"?"))))))))</f>
        <v>3-10 m joint</v>
      </c>
      <c r="H126" s="1734"/>
      <c r="I126" s="1760"/>
      <c r="J126" s="2798" t="s">
        <v>119</v>
      </c>
      <c r="K126" s="2799"/>
      <c r="L126" s="1769" t="s">
        <v>768</v>
      </c>
      <c r="M126" s="1642">
        <f>IF(M18="",'Parameter tables'!L85,IF(M18="a",'Parameter tables'!L83,IF(M18="b",'Parameter tables'!L84,IF(M18="c",'Parameter tables'!L85,IF(M18="d",'Parameter tables'!L86,IF(M18="e",'Parameter tables'!L87,"?"))))))</f>
        <v>1.5</v>
      </c>
      <c r="N126" s="1770" t="str">
        <f>IF(M18="",'Parameter tables'!A84,IF(M18="a",'Parameter tables'!A83,IF(M18="b",'Parameter tables'!A84,IF(M18="c",'Parameter tables'!A85,IF(M18="d",'Parameter tables'!A86,IF(M18="e",'Parameter tables'!A87,"?"))))))</f>
        <v>favourable</v>
      </c>
      <c r="O126" s="1771"/>
      <c r="P126" s="1772" t="s">
        <v>769</v>
      </c>
      <c r="Q126" s="1773">
        <f>IF(M19="",'Parameter tables'!L85,IF(M19="a",'Parameter tables'!L83,IF(M19="b",'Parameter tables'!L84,IF(M19="c",'Parameter tables'!L85,IF(M19="d",'Parameter tables'!L86,IF(M19="e",'Parameter tables'!L87,"?"))))))</f>
        <v>1.5</v>
      </c>
      <c r="R126" s="1774" t="str">
        <f>IF(M19="",'Parameter tables'!A84,IF(M19="a",'Parameter tables'!A83,IF(M19="b",'Parameter tables'!A84,IF(M19="c",'Parameter tables'!A85,IF(M19="d",'Parameter tables'!A86,IF(M19="e",'Parameter tables'!A87,"?"))))))</f>
        <v>favourable</v>
      </c>
      <c r="S126" s="1479"/>
      <c r="T126" s="1577" t="s">
        <v>239</v>
      </c>
      <c r="U126" s="1578" t="s">
        <v>149</v>
      </c>
      <c r="V126" s="2015">
        <f>V125</f>
        <v>400</v>
      </c>
      <c r="W126" s="709" t="s">
        <v>524</v>
      </c>
      <c r="X126" s="710"/>
      <c r="Y126" s="711"/>
      <c r="Z126" s="712"/>
      <c r="AA126" s="1775"/>
      <c r="AB126" s="1736"/>
      <c r="AC126" s="1495"/>
    </row>
    <row r="127" spans="1:29" ht="12.75" customHeight="1">
      <c r="A127" s="2821" t="s">
        <v>459</v>
      </c>
      <c r="B127" s="2922"/>
      <c r="C127" s="2922"/>
      <c r="D127" s="2822"/>
      <c r="E127" s="1737" t="s">
        <v>455</v>
      </c>
      <c r="F127" s="1758">
        <f>F121*F126/F125</f>
        <v>1.75</v>
      </c>
      <c r="G127" s="1776"/>
      <c r="H127" s="1777"/>
      <c r="I127" s="1778"/>
      <c r="J127" s="2798" t="s">
        <v>463</v>
      </c>
      <c r="K127" s="2799"/>
      <c r="L127" s="1658" t="s">
        <v>770</v>
      </c>
      <c r="M127" s="1779" t="str">
        <f>IF(M11="","",IF(F132&gt;F133,F133*F118,F132*F118))</f>
        <v/>
      </c>
      <c r="N127" s="1780" t="str">
        <f>IF(M127="","",IF(M127&gt;V105,W105,IF(M127&gt;V106,W106,IF(M127&gt;V107,W107,IF(M127&gt;V108,W108,IF(M127&gt;V109,W109,W110))))))</f>
        <v/>
      </c>
      <c r="O127" s="1781"/>
      <c r="P127" s="1781"/>
      <c r="Q127" s="1782"/>
      <c r="R127" s="1682"/>
      <c r="S127" s="1502"/>
      <c r="T127" s="1783"/>
      <c r="U127" s="1502"/>
      <c r="V127" s="1502"/>
      <c r="W127" s="1502"/>
      <c r="X127" s="1502"/>
      <c r="Y127" s="1502"/>
      <c r="Z127" s="1502"/>
      <c r="AA127" s="1502"/>
      <c r="AB127" s="1495"/>
      <c r="AC127" s="1495"/>
    </row>
    <row r="128" spans="1:29" ht="14.25" customHeight="1">
      <c r="A128" s="2907" t="s">
        <v>460</v>
      </c>
      <c r="B128" s="2975"/>
      <c r="C128" s="2975"/>
      <c r="D128" s="2908"/>
      <c r="E128" s="1784" t="s">
        <v>670</v>
      </c>
      <c r="F128" s="1785">
        <f>IF(M16="",'Parameter tables'!M67,IF(M16="a",'Parameter tables'!M66,IF(M16="b",'Parameter tables'!M67,IF(M16="c",'Parameter tables'!M68,IF(M16="d",'Parameter tables'!M69,IF(M16="e",'Parameter tables'!M70,"?"))))))</f>
        <v>37</v>
      </c>
      <c r="G128" s="1786" t="str">
        <f>IF(F128&lt;31,"cubical blocks",IF(F128&lt;39,"slightly long or flat",IF(F128&lt;61,"mod. long or flat",IF(F128&lt;151,"very long or flat",IF(F128&gt;150,"extr. long or flat","?")))))</f>
        <v>slightly long or flat</v>
      </c>
      <c r="H128" s="1661"/>
      <c r="I128" s="1498"/>
      <c r="J128" s="1787" t="s">
        <v>631</v>
      </c>
      <c r="K128" s="1788"/>
      <c r="L128" s="1788"/>
      <c r="M128" s="1788"/>
      <c r="N128" s="1788"/>
      <c r="O128" s="1788"/>
      <c r="P128" s="1789"/>
      <c r="Q128" s="1789"/>
      <c r="R128" s="1682"/>
      <c r="S128" s="1595" t="s">
        <v>800</v>
      </c>
      <c r="T128" s="1790"/>
      <c r="U128" s="1680"/>
      <c r="V128" s="255"/>
      <c r="W128" s="1502"/>
      <c r="X128" s="1502"/>
      <c r="Y128" s="1502"/>
      <c r="Z128" s="1495"/>
      <c r="AA128" s="1502"/>
      <c r="AB128" s="1495"/>
      <c r="AC128" s="1495"/>
    </row>
    <row r="129" spans="1:33" ht="14.25" customHeight="1">
      <c r="A129" s="2819" t="s">
        <v>771</v>
      </c>
      <c r="B129" s="2974"/>
      <c r="C129" s="2974"/>
      <c r="D129" s="2820"/>
      <c r="E129" s="1626" t="s">
        <v>111</v>
      </c>
      <c r="F129" s="1723" t="str">
        <f>IF(M11="","",IF(M11="a",'Parameter tables'!L40,IF(M11="b",'Parameter tables'!L41,IF(M11="c",'Parameter tables'!L42,IF(M11="d",'Parameter tables'!L43,IF(M11="e",'Parameter tables'!L44,IF(M11="f",'Parameter tables'!L45,"")))))))</f>
        <v/>
      </c>
      <c r="G129" s="1792" t="str">
        <f>IF(H129="","","m³    from DJ =")</f>
        <v/>
      </c>
      <c r="H129" s="1793" t="str">
        <f>IF(F129&lt;0.01,F129*1000,"")</f>
        <v/>
      </c>
      <c r="I129" s="1794"/>
      <c r="J129" s="1795"/>
      <c r="K129" s="1796"/>
      <c r="L129" s="1797" t="s">
        <v>546</v>
      </c>
      <c r="M129" s="1798" t="s">
        <v>576</v>
      </c>
      <c r="N129" s="1799"/>
      <c r="O129" s="1800"/>
      <c r="P129" s="1800"/>
      <c r="Q129" s="1801"/>
      <c r="R129" s="1751"/>
      <c r="S129" s="1742"/>
      <c r="T129" s="1533" t="s">
        <v>292</v>
      </c>
      <c r="U129" s="1534" t="s">
        <v>149</v>
      </c>
      <c r="V129" s="1802">
        <f>V130</f>
        <v>100</v>
      </c>
      <c r="W129" s="692" t="s">
        <v>421</v>
      </c>
      <c r="X129" s="693"/>
      <c r="Y129" s="694"/>
      <c r="Z129" s="695"/>
      <c r="AA129" s="1502"/>
      <c r="AB129" s="1495"/>
      <c r="AC129" s="1495"/>
    </row>
    <row r="130" spans="1:33" ht="14.25" customHeight="1">
      <c r="A130" s="2821"/>
      <c r="B130" s="2922"/>
      <c r="C130" s="2922"/>
      <c r="D130" s="2822"/>
      <c r="E130" s="1617" t="s">
        <v>772</v>
      </c>
      <c r="F130" s="1720" t="str">
        <f>IF(H130&lt;&gt;"",H130/1000,F129)</f>
        <v/>
      </c>
      <c r="G130" s="1587" t="str">
        <f>IF(M14&lt;&gt;"","m³            =",IF(M15&lt;&gt;"","m³           =",""))</f>
        <v/>
      </c>
      <c r="H130" s="1803" t="str">
        <f>IF(M14&lt;&gt;"",M14,IF(M15&lt;&gt;"",(F128*M15^-3)*1000,""))</f>
        <v/>
      </c>
      <c r="I130" s="1498"/>
      <c r="J130" s="2815" t="s">
        <v>305</v>
      </c>
      <c r="K130" s="1804" t="s">
        <v>773</v>
      </c>
      <c r="L130" s="1805" t="str">
        <f>IF(M127="","",M127*M123/M122)</f>
        <v/>
      </c>
      <c r="M130" s="1805" t="str">
        <f>IF(F152="","",F152*F147/F146)</f>
        <v/>
      </c>
      <c r="N130" s="1806" t="str">
        <f>IF(OR(L130="",N122="overstressed"),"",IF(L130&gt;$V$113,$W$113,IF(L130&gt;$V$114,$W$114,IF(L130&gt;$V$115,$W$115,IF(L130&gt;$V$116,$W$116,IF(L130&gt;$V$117,$W$117,$W$118))))))</f>
        <v/>
      </c>
      <c r="O130" s="1807"/>
      <c r="P130" s="1807" t="str">
        <f>IF(OR(M130="",P122="overstressed"),"",IF(M130&gt;$V$113,$W$113,IF(M130&gt;$V$114,$W$114,IF(M130&gt;$V$115,$W$115,IF(M130&gt;$V$116,$W$116,IF(M130&gt;$V$117,$W$117,$W$118))))))</f>
        <v/>
      </c>
      <c r="Q130" s="1756"/>
      <c r="R130" s="1808"/>
      <c r="S130" s="1545" t="s">
        <v>111</v>
      </c>
      <c r="T130" s="1546">
        <f>V131</f>
        <v>30</v>
      </c>
      <c r="U130" s="1547" t="s">
        <v>74</v>
      </c>
      <c r="V130" s="704">
        <v>100</v>
      </c>
      <c r="W130" s="696" t="s">
        <v>422</v>
      </c>
      <c r="X130" s="697"/>
      <c r="Y130" s="698"/>
      <c r="Z130" s="699"/>
      <c r="AB130" s="1495"/>
      <c r="AC130" s="1495"/>
    </row>
    <row r="131" spans="1:33" ht="14.25" customHeight="1">
      <c r="A131" s="2798" t="s">
        <v>574</v>
      </c>
      <c r="B131" s="2800"/>
      <c r="C131" s="2800"/>
      <c r="D131" s="2799"/>
      <c r="E131" s="1809" t="s">
        <v>456</v>
      </c>
      <c r="F131" s="1810" t="str">
        <f>IF(F129="","",F128*(F130^0.3333)/'Parameter tables'!M66)</f>
        <v/>
      </c>
      <c r="G131" s="1811" t="s">
        <v>117</v>
      </c>
      <c r="H131" s="1661"/>
      <c r="I131" s="1812"/>
      <c r="J131" s="2982"/>
      <c r="K131" s="1804" t="s">
        <v>774</v>
      </c>
      <c r="L131" s="3194" t="str">
        <f>IF(AND(M11="",M28&lt;&gt;""),M130,IF(P$40="",L130,M130))</f>
        <v/>
      </c>
      <c r="M131" s="3195"/>
      <c r="N131" s="1813" t="str">
        <f>IF(L131="","",IF(L131&gt;$V$113,$W$113,IF(L131&gt;$V$114,$W$114,IF(L131&gt;$V$115,$W$115,IF(L131&gt;$V$116,$W$116,IF(L131&gt;$V$117,$W$117,$W$118))))))</f>
        <v/>
      </c>
      <c r="O131" s="1813"/>
      <c r="P131" s="1605"/>
      <c r="Q131" s="1814"/>
      <c r="R131" s="1808"/>
      <c r="S131" s="1545" t="s">
        <v>111</v>
      </c>
      <c r="T131" s="1546">
        <f>V132</f>
        <v>1</v>
      </c>
      <c r="U131" s="1547" t="s">
        <v>74</v>
      </c>
      <c r="V131" s="704">
        <v>30</v>
      </c>
      <c r="W131" s="696" t="s">
        <v>423</v>
      </c>
      <c r="X131" s="697"/>
      <c r="Y131" s="698"/>
      <c r="Z131" s="699"/>
      <c r="AB131" s="1495"/>
      <c r="AC131" s="1495"/>
    </row>
    <row r="132" spans="1:33" ht="14.25" customHeight="1">
      <c r="A132" s="3042" t="s">
        <v>461</v>
      </c>
      <c r="B132" s="3043"/>
      <c r="C132" s="3043"/>
      <c r="D132" s="3044"/>
      <c r="E132" s="1746" t="s">
        <v>457</v>
      </c>
      <c r="F132" s="1815" t="str">
        <f>IF(F129="","",0.2*SQRT(F127)*F130^(0.37*(F127)^-0.2))</f>
        <v/>
      </c>
      <c r="G132" s="1816"/>
      <c r="H132" s="1661"/>
      <c r="I132" s="1498"/>
      <c r="J132" s="2982"/>
      <c r="K132" s="1804" t="s">
        <v>775</v>
      </c>
      <c r="L132" s="1805" t="str">
        <f>IF(M127="","",IF(M27="d",5*M127*M124/M122,5*M127*M123/M122))</f>
        <v/>
      </c>
      <c r="M132" s="1805" t="str">
        <f>IF(F152="","",IF(M27="d",5*F152*1/M122,5*F152*1/F146))</f>
        <v/>
      </c>
      <c r="N132" s="1817" t="str">
        <f>IF(OR(L132="",N122="overstressed"),"",IF(L132&gt;$V$113,$W$113,IF(L132&gt;$V$114,$W$114,IF(L132&gt;$V$115,$W$115,IF(L132&gt;$V$116,$W$116,IF(L132&gt;$V$117,$W$117,$W$118))))))</f>
        <v/>
      </c>
      <c r="O132" s="1813"/>
      <c r="P132" s="1813" t="str">
        <f>IF(OR(M132="",P122="overstressed"),"",IF(M132&gt;$V$113,$W$113,IF(M132&gt;$V$114,$W$114,IF(M132&gt;$V$115,$W$115,IF(M132&gt;$V$116,$W$116,IF(M132&gt;$V$117,$W$117,$W$118))))))</f>
        <v/>
      </c>
      <c r="Q132" s="1551"/>
      <c r="R132" s="1808"/>
      <c r="S132" s="1545" t="s">
        <v>111</v>
      </c>
      <c r="T132" s="1546">
        <f>V133</f>
        <v>0.03</v>
      </c>
      <c r="U132" s="1547" t="s">
        <v>74</v>
      </c>
      <c r="V132" s="704">
        <v>1</v>
      </c>
      <c r="W132" s="696" t="s">
        <v>424</v>
      </c>
      <c r="X132" s="697"/>
      <c r="Y132" s="698"/>
      <c r="Z132" s="699"/>
      <c r="AB132" s="1495"/>
      <c r="AC132" s="1495"/>
    </row>
    <row r="133" spans="1:33" ht="14.25" customHeight="1">
      <c r="A133" s="2821" t="s">
        <v>462</v>
      </c>
      <c r="B133" s="2922"/>
      <c r="C133" s="2922"/>
      <c r="D133" s="2822"/>
      <c r="E133" s="1617" t="s">
        <v>671</v>
      </c>
      <c r="F133" s="1818" t="str">
        <f>IF(F129="","",IF(F129=0,"Vb =?",(0.05/F131)^0.2))</f>
        <v/>
      </c>
      <c r="G133" s="1819"/>
      <c r="H133" s="1636"/>
      <c r="I133" s="1498"/>
      <c r="J133" s="2817"/>
      <c r="K133" s="1737" t="s">
        <v>776</v>
      </c>
      <c r="L133" s="3194" t="str">
        <f>IF(AND(M11="",M28&lt;&gt;""),M132,IF(P$40="",L132,M132))</f>
        <v/>
      </c>
      <c r="M133" s="3195"/>
      <c r="N133" s="1759" t="str">
        <f>IF(L133="","",IF(L133&gt;$V$113,$W$113,IF(L133&gt;$V$114,$W$114,IF(L133&gt;$V$115,$W$115,IF(L133&gt;$V$116,$W$116,IF(L133&gt;$V$117,$W$117,$W$118))))))</f>
        <v/>
      </c>
      <c r="O133" s="1559"/>
      <c r="P133" s="1592"/>
      <c r="Q133" s="1820"/>
      <c r="R133" s="1808"/>
      <c r="S133" s="1546" t="s">
        <v>111</v>
      </c>
      <c r="T133" s="1546">
        <f>V134</f>
        <v>1E-3</v>
      </c>
      <c r="U133" s="1547" t="s">
        <v>74</v>
      </c>
      <c r="V133" s="704">
        <v>0.03</v>
      </c>
      <c r="W133" s="696" t="s">
        <v>425</v>
      </c>
      <c r="X133" s="697"/>
      <c r="Y133" s="698"/>
      <c r="Z133" s="699"/>
      <c r="AB133" s="1495"/>
      <c r="AC133" s="1495"/>
    </row>
    <row r="134" spans="1:33" ht="14.25" customHeight="1">
      <c r="A134" s="2974"/>
      <c r="B134" s="2974"/>
      <c r="C134" s="2974"/>
      <c r="D134" s="2974"/>
      <c r="E134" s="1821"/>
      <c r="F134" s="1791"/>
      <c r="G134" s="1822"/>
      <c r="H134" s="1822"/>
      <c r="I134" s="1498"/>
      <c r="J134" s="2819" t="s">
        <v>127</v>
      </c>
      <c r="K134" s="1753" t="s">
        <v>777</v>
      </c>
      <c r="L134" s="1823" t="str">
        <f>IF(M127="","",M118/F$131*M126/M$125)</f>
        <v/>
      </c>
      <c r="M134" s="1823" t="str">
        <f>IF(F$152="","",IF(F148="no",F143/H139*F144/F140,M118/H139*F144/F140))</f>
        <v/>
      </c>
      <c r="N134" s="1806" t="str">
        <f>IF(OR(L134="",L134="overstressed"),"",IF(L134&lt;$V$121,$W$121,IF(L134&lt;$V$122,$W$122,IF(L134&lt;$V$123,$W$123,IF(L134&lt;$V$124,$W$124,IF(L134&lt;$V$125,$W$125,$W$126))))))</f>
        <v/>
      </c>
      <c r="O134" s="1824"/>
      <c r="P134" s="1825"/>
      <c r="Q134" s="1826" t="str">
        <f>IF(OR(M134="",M134="overstressed"),"",IF(M134&lt;$V$121,$W$121,IF(M134&lt;$V$122,$W$122,IF(M134&lt;$V$123,$W$123,IF(M134&lt;$V$124,$W$124,IF(M134&lt;$V$125,$W$125,$W$126))))))</f>
        <v/>
      </c>
      <c r="R134" s="1808"/>
      <c r="S134" s="1546" t="s">
        <v>111</v>
      </c>
      <c r="T134" s="1827">
        <f>V135</f>
        <v>1.0000000000000001E-5</v>
      </c>
      <c r="U134" s="1547" t="s">
        <v>74</v>
      </c>
      <c r="V134" s="704">
        <v>1E-3</v>
      </c>
      <c r="W134" s="696" t="s">
        <v>426</v>
      </c>
      <c r="X134" s="697"/>
      <c r="Y134" s="698"/>
      <c r="Z134" s="699"/>
      <c r="AB134" s="1495"/>
      <c r="AC134" s="1495"/>
    </row>
    <row r="135" spans="1:33" ht="15" customHeight="1">
      <c r="A135" s="1514"/>
      <c r="B135" s="1514"/>
      <c r="C135" s="1514"/>
      <c r="D135" s="1679"/>
      <c r="E135" s="1679"/>
      <c r="F135" s="1514"/>
      <c r="G135" s="1514"/>
      <c r="H135" s="1514"/>
      <c r="I135" s="1498"/>
      <c r="J135" s="3042"/>
      <c r="K135" s="1804" t="s">
        <v>778</v>
      </c>
      <c r="L135" s="3196" t="str">
        <f>IF(AND(M11="",M28&lt;&gt;""),M134,IF(P$40="",L134,M134))</f>
        <v/>
      </c>
      <c r="M135" s="3197"/>
      <c r="N135" s="1807" t="str">
        <f>IF(OR(L135="",L135="overstressed"),"",IF(L135&lt;$V$121,$W$121,IF(L135&lt;$V$122,$W$122,IF(L135&lt;$V$123,$W$123,IF(L135&lt;V124,$W$124,IF(L135&lt;$V$125,$W$125,$W$126))))))</f>
        <v/>
      </c>
      <c r="O135" s="1807"/>
      <c r="P135" s="1828"/>
      <c r="Q135" s="1814"/>
      <c r="R135" s="1808"/>
      <c r="S135" s="1479"/>
      <c r="T135" s="1577" t="s">
        <v>292</v>
      </c>
      <c r="U135" s="1829" t="s">
        <v>270</v>
      </c>
      <c r="V135" s="702">
        <v>1.0000000000000001E-5</v>
      </c>
      <c r="W135" s="700" t="s">
        <v>427</v>
      </c>
      <c r="X135" s="701"/>
      <c r="Y135" s="702"/>
      <c r="Z135" s="703"/>
      <c r="AA135" s="1502"/>
      <c r="AB135" s="1495"/>
      <c r="AC135" s="1495"/>
    </row>
    <row r="136" spans="1:33" ht="14.25" customHeight="1">
      <c r="A136" s="1497"/>
      <c r="B136" s="1830" t="s">
        <v>870</v>
      </c>
      <c r="C136" s="1831"/>
      <c r="D136" s="1831"/>
      <c r="E136" s="1831"/>
      <c r="F136" s="1831"/>
      <c r="G136" s="1831"/>
      <c r="H136" s="1831"/>
      <c r="I136" s="1498"/>
      <c r="J136" s="3042"/>
      <c r="K136" s="1804" t="s">
        <v>779</v>
      </c>
      <c r="L136" s="1823" t="str">
        <f>IF(M$127="","",IF(F149="no",F143/F131*Q126/M$125,M119/F131*Q126/M$125))</f>
        <v/>
      </c>
      <c r="M136" s="1823" t="str">
        <f>IF(F$152="","",IF(F149="no",F143/H139*F145/F140,M119/H139*F145/F140))</f>
        <v/>
      </c>
      <c r="N136" s="1817" t="str">
        <f>IF(OR(L136="",L136="overstressed"),"",IF(L136&lt;$V$121,$W$121,IF(L136&lt;$V$122,$W$122,IF(L136&lt;$V$123,$W$123,IF(L136&lt;$V$124,$W$124,IF(L136&lt;$V$125,$W$125,$W$126))))))</f>
        <v/>
      </c>
      <c r="O136" s="1824"/>
      <c r="P136" s="1825"/>
      <c r="Q136" s="1832" t="str">
        <f>IF(OR(M136="",M136="overstressed"),"",IF(M136&lt;$V$121,$W$121,IF(M136&lt;$V$122,$W$122,IF(M136&lt;$V$123,$W$123,IF(M136&lt;$V$124,$W$124,IF(M136&lt;$V$125,$W$125,$W$126))))))</f>
        <v/>
      </c>
      <c r="R136" s="1566"/>
      <c r="AA136" s="1502"/>
      <c r="AG136" s="70"/>
    </row>
    <row r="137" spans="1:33" ht="15" customHeight="1">
      <c r="A137" s="3045" t="s">
        <v>577</v>
      </c>
      <c r="B137" s="3046"/>
      <c r="C137" s="3046"/>
      <c r="D137" s="3047"/>
      <c r="E137" s="1834" t="s">
        <v>338</v>
      </c>
      <c r="F137" s="1835" t="str">
        <f>IF(M30="",N30,M30)</f>
        <v/>
      </c>
      <c r="G137" s="3219" t="str">
        <f>IF(M28="","",IF(M30&lt;&gt;"",M30,IF(M28="f",'Parameter tables'!S167,IF(M28="g",'Parameter tables'!S168,IF(M28="h",'Parameter tables'!S169,IF(M28="i",'Parameter tables'!S170,""))))))</f>
        <v/>
      </c>
      <c r="H137" s="3220"/>
      <c r="I137" s="1498"/>
      <c r="J137" s="2821"/>
      <c r="K137" s="1737" t="s">
        <v>780</v>
      </c>
      <c r="L137" s="3196" t="str">
        <f>IF(P$40="",L136,M136)</f>
        <v/>
      </c>
      <c r="M137" s="3197"/>
      <c r="N137" s="1771" t="str">
        <f>IF(OR(L137="",L137="overstressed"),"",IF(L137&lt;$V$121,$W$121,IF(L137&lt;$V$122,$W$122,IF(L137&lt;$V$123,$W$123,IF(L137&lt;$V$124,$W$124,IF(L137&lt;$V$125,$W$125,$W$126))))))</f>
        <v/>
      </c>
      <c r="O137" s="1771"/>
      <c r="P137" s="1836"/>
      <c r="Q137" s="1837"/>
      <c r="R137" s="1566"/>
      <c r="S137" s="1520" t="s">
        <v>1142</v>
      </c>
      <c r="T137" s="1498"/>
      <c r="U137" s="1498"/>
      <c r="V137" s="1498"/>
      <c r="W137" s="1498"/>
      <c r="X137" s="1498"/>
      <c r="Y137" s="1498"/>
      <c r="Z137" s="1498"/>
      <c r="AA137" s="1498"/>
      <c r="AB137" s="1520"/>
      <c r="AC137" s="1169"/>
    </row>
    <row r="138" spans="1:33" ht="14.25" customHeight="1">
      <c r="A138" s="3048" t="s">
        <v>568</v>
      </c>
      <c r="B138" s="3049"/>
      <c r="C138" s="3049"/>
      <c r="D138" s="3050"/>
      <c r="E138" s="1626" t="s">
        <v>781</v>
      </c>
      <c r="F138" s="1723" t="str">
        <f>IF(M28="","",IF(M32="",M163*1000,M32))</f>
        <v/>
      </c>
      <c r="G138" s="1724" t="s">
        <v>825</v>
      </c>
      <c r="H138" s="1838" t="str">
        <f>IF(F138="","",F138/1000)</f>
        <v/>
      </c>
      <c r="I138" s="1498"/>
      <c r="J138" s="3213" t="s">
        <v>816</v>
      </c>
      <c r="K138" s="3214"/>
      <c r="L138" s="1839" t="str">
        <f>IF(P40="","",IF(OR(M28="f",M28="g",M28="h"),"Weak zone may need further evaluations",IF(M28="i","Zones with soft filling are only approx. covered by RMi",IF(M22="o","Filling of swelling clay is not included in RMi",""))))</f>
        <v/>
      </c>
      <c r="M138" s="1839"/>
      <c r="N138" s="1839"/>
      <c r="O138" s="1839"/>
      <c r="P138" s="1839"/>
      <c r="Q138" s="1840"/>
      <c r="R138" s="70"/>
      <c r="S138" s="1532" t="s">
        <v>1143</v>
      </c>
      <c r="T138" s="1604">
        <v>0</v>
      </c>
      <c r="U138" s="1534" t="s">
        <v>126</v>
      </c>
      <c r="V138" s="803">
        <v>3</v>
      </c>
      <c r="W138" s="804" t="s">
        <v>1144</v>
      </c>
      <c r="X138" s="804"/>
      <c r="Y138" s="804"/>
      <c r="Z138" s="808"/>
      <c r="AA138" s="1841"/>
      <c r="AB138" s="1842"/>
      <c r="AC138" s="1146"/>
    </row>
    <row r="139" spans="1:33" ht="14.25" customHeight="1">
      <c r="A139" s="3236" t="s">
        <v>569</v>
      </c>
      <c r="B139" s="3237"/>
      <c r="C139" s="3237"/>
      <c r="D139" s="3238"/>
      <c r="E139" s="1843" t="s">
        <v>782</v>
      </c>
      <c r="F139" s="1810" t="str">
        <f>IF(F138="","",N163*10)</f>
        <v/>
      </c>
      <c r="G139" s="1844" t="s">
        <v>570</v>
      </c>
      <c r="H139" s="1845" t="str">
        <f>IF(F139="","",F139/10)</f>
        <v/>
      </c>
      <c r="I139" s="1498"/>
      <c r="J139" s="3215"/>
      <c r="K139" s="3216"/>
      <c r="L139" s="1846" t="str">
        <f>IF(L131="","",IF(OR(L131&lt;0.01,L135&lt;L131^-1.3,L135&gt;600),"Beyond the limit of RMi support method",""))</f>
        <v/>
      </c>
      <c r="M139" s="1846"/>
      <c r="N139" s="1846"/>
      <c r="O139" s="1846"/>
      <c r="P139" s="1846"/>
      <c r="Q139" s="1847"/>
      <c r="R139" s="70"/>
      <c r="S139" s="1545" t="s">
        <v>1143</v>
      </c>
      <c r="T139" s="1611">
        <f>V138</f>
        <v>3</v>
      </c>
      <c r="U139" s="1547" t="s">
        <v>126</v>
      </c>
      <c r="V139" s="805">
        <v>6</v>
      </c>
      <c r="W139" s="806" t="s">
        <v>1145</v>
      </c>
      <c r="X139" s="806"/>
      <c r="Y139" s="806"/>
      <c r="Z139" s="807"/>
      <c r="AA139" s="1842"/>
      <c r="AB139" s="1842"/>
      <c r="AC139" s="1146"/>
    </row>
    <row r="140" spans="1:33" ht="15">
      <c r="A140" s="2978" t="s">
        <v>11</v>
      </c>
      <c r="B140" s="2979"/>
      <c r="C140" s="2979"/>
      <c r="D140" s="2980"/>
      <c r="E140" s="1849" t="s">
        <v>783</v>
      </c>
      <c r="F140" s="1850" t="str">
        <f>IF(F138="","",IF(H138&gt;'Parameter tables'!O72,'Parameter tables'!L72,IF(H138&gt;'Parameter tables'!O73,'Parameter tables'!L73,IF(H138&gt;'Parameter tables'!O74,'Parameter tables'!L74,IF(H138&gt;'Parameter tables'!O75,'Parameter tables'!L75,IF(H138&gt;'Parameter tables'!O76,'Parameter tables'!L76,IF(H138&gt;'Parameter tables'!O77,'Parameter tables'!L77,IF(H138&gt;'Parameter tables'!O78,'Parameter tables'!L78,'Parameter tables'!L79))))))))</f>
        <v/>
      </c>
      <c r="G140" s="1851"/>
      <c r="H140" s="1852"/>
      <c r="I140" s="1778"/>
      <c r="J140" s="3215"/>
      <c r="K140" s="3216"/>
      <c r="L140" s="1853" t="str">
        <f>IF(AND(M27="e",F118&lt;G80),"Rock bursting takes place in brittle, hard rock",IF(AND(M27="f",F118&lt;G80),"Rock bursting takes place in brittle, hard rock",IF(AND(M27="g",F118&lt;G80),"Rock bursting takes place in brittle, hard rock",IF(OR(M27="h",M27="i"),"Squeezing is not included in the RMi system",""))))</f>
        <v/>
      </c>
      <c r="M140" s="1854"/>
      <c r="N140" s="1854"/>
      <c r="O140" s="1854"/>
      <c r="P140" s="1854"/>
      <c r="Q140" s="1855"/>
      <c r="R140" s="994"/>
      <c r="S140" s="1545" t="s">
        <v>1143</v>
      </c>
      <c r="T140" s="1611">
        <f>V139</f>
        <v>6</v>
      </c>
      <c r="U140" s="1547" t="s">
        <v>126</v>
      </c>
      <c r="V140" s="805">
        <v>15</v>
      </c>
      <c r="W140" s="806" t="s">
        <v>614</v>
      </c>
      <c r="X140" s="806"/>
      <c r="Y140" s="806"/>
      <c r="Z140" s="809"/>
      <c r="AA140" s="1841"/>
      <c r="AB140" s="1842"/>
      <c r="AD140" s="1856"/>
    </row>
    <row r="141" spans="1:33" ht="15">
      <c r="A141" s="3039" t="s">
        <v>1079</v>
      </c>
      <c r="B141" s="3040"/>
      <c r="C141" s="3040"/>
      <c r="D141" s="3041"/>
      <c r="E141" s="1857" t="s">
        <v>202</v>
      </c>
      <c r="F141" s="1767" t="str">
        <f>IF(M28="","",IF(M37="",'Parameter tables'!L198,IF(M37="a",'Parameter tables'!L198,IF(M37="b",'Parameter tables'!L199,'Parameter tables'!L200))))</f>
        <v/>
      </c>
      <c r="G141" s="1744" t="str">
        <f>IF(M28="","",IF(M37="",'Parameter tables'!A198,IF(M37="a",'Parameter tables'!A198,IF(M37="b",'Parameter tables'!L199,'Parameter tables'!A200))))</f>
        <v/>
      </c>
      <c r="H141" s="1858"/>
      <c r="I141" s="1498"/>
      <c r="J141" s="3215"/>
      <c r="K141" s="3216"/>
      <c r="L141" s="1859" t="str">
        <f>IF(OR(M27="e",M27="f",M27="g"),"Support of bursting is for span &lt; 15 m","")</f>
        <v/>
      </c>
      <c r="M141" s="1854"/>
      <c r="N141" s="1854"/>
      <c r="O141" s="1854"/>
      <c r="P141" s="1854"/>
      <c r="Q141" s="1855"/>
      <c r="R141" s="994"/>
      <c r="S141" s="1545" t="s">
        <v>1143</v>
      </c>
      <c r="T141" s="1611">
        <f>V140</f>
        <v>15</v>
      </c>
      <c r="U141" s="1547" t="s">
        <v>126</v>
      </c>
      <c r="V141" s="805">
        <v>30</v>
      </c>
      <c r="W141" s="806" t="s">
        <v>1146</v>
      </c>
      <c r="X141" s="806"/>
      <c r="Y141" s="806"/>
      <c r="Z141" s="807"/>
      <c r="AA141" s="1842"/>
      <c r="AB141" s="1842"/>
      <c r="AC141" s="1146"/>
    </row>
    <row r="142" spans="1:33" ht="14.25" customHeight="1">
      <c r="A142" s="3226" t="s">
        <v>945</v>
      </c>
      <c r="B142" s="3227"/>
      <c r="C142" s="3227"/>
      <c r="D142" s="3228"/>
      <c r="E142" s="1843" t="s">
        <v>784</v>
      </c>
      <c r="F142" s="1860" t="str">
        <f>IF(M28="","",IF(AND(M28&lt;&gt;"",M35=""),J163,IF(M35="a",'Parameter tables'!L188,IF(M35="b",'Parameter tables'!L189,IF(M35="c",'Parameter tables'!L190,IF(M35="d",'Parameter tables'!L191,IF(M35="e",'Parameter tables'!L192,IF(M35="f",'Parameter tables'!L193,IF(M35="g",'Parameter tables'!L194,"")))))))))</f>
        <v/>
      </c>
      <c r="G142" s="1861" t="str">
        <f>IF(M28="","",IF(AND(M28="f",M35=""),'Parameter tables'!P167,IF(AND(M28="g",M35=""),'Parameter tables'!P168,IF(AND(M28="h",M35=""),'Parameter tables'!P169,IF(AND(M28="f",M35=""),'Parameter tables'!P170,IF(M35="a",'Parameter tables'!A188,IF(M35="b",'Parameter tables'!A189,IF(M35="c",'Parameter tables'!A190,IF(M35="d",'Parameter tables'!A191,IF(M35="e",'Parameter tables'!A192,IF(M35="f",'Parameter tables'!A193,IF(M35="g",'Parameter tables'!A194,""))))))))))))</f>
        <v/>
      </c>
      <c r="H142" s="1862"/>
      <c r="I142" s="1498"/>
      <c r="J142" s="3215"/>
      <c r="K142" s="3216"/>
      <c r="L142" s="3203" t="str">
        <f>IF(OR(M26="d",M26="e"),"Water inflow: Use of shotcrete may be difficult",IF(OR(M26="f",M26="g"),"Large inflows are not covered by the RMi support system",IF(OR(M35="o",M23="o"),"Swelling rock and swelling clay fillings are not included in the RMI system","")))</f>
        <v/>
      </c>
      <c r="M142" s="3203"/>
      <c r="N142" s="3203"/>
      <c r="O142" s="3203"/>
      <c r="P142" s="3203"/>
      <c r="Q142" s="3204"/>
      <c r="R142" s="1863"/>
      <c r="S142" s="1576" t="s">
        <v>1143</v>
      </c>
      <c r="T142" s="1650">
        <f>V141</f>
        <v>30</v>
      </c>
      <c r="U142" s="1578" t="s">
        <v>126</v>
      </c>
      <c r="V142" s="1864">
        <v>8</v>
      </c>
      <c r="W142" s="2016" t="s">
        <v>1147</v>
      </c>
      <c r="X142" s="2016"/>
      <c r="Y142" s="2016"/>
      <c r="Z142" s="2017"/>
      <c r="AA142" s="1841"/>
      <c r="AB142" s="1842"/>
      <c r="AC142" s="1146"/>
    </row>
    <row r="143" spans="1:33" ht="13.9" customHeight="1">
      <c r="A143" s="2905" t="s">
        <v>566</v>
      </c>
      <c r="B143" s="2906"/>
      <c r="C143" s="2906"/>
      <c r="D143" s="3229"/>
      <c r="E143" s="1865" t="s">
        <v>129</v>
      </c>
      <c r="F143" s="1866" t="str">
        <f>IF(M28="","",IF(M31="",G78,IF(M31&lt;&gt;"",M31)))</f>
        <v/>
      </c>
      <c r="G143" s="1867"/>
      <c r="H143" s="1868"/>
      <c r="I143" s="1498"/>
      <c r="J143" s="3217"/>
      <c r="K143" s="3218"/>
      <c r="L143" s="3205"/>
      <c r="M143" s="3205"/>
      <c r="N143" s="3205"/>
      <c r="O143" s="3205"/>
      <c r="P143" s="3205"/>
      <c r="Q143" s="3206"/>
    </row>
    <row r="144" spans="1:33" ht="13.9" customHeight="1">
      <c r="A144" s="2903" t="s">
        <v>130</v>
      </c>
      <c r="B144" s="2904"/>
      <c r="C144" s="2904"/>
      <c r="D144" s="1869" t="s">
        <v>553</v>
      </c>
      <c r="E144" s="1870" t="s">
        <v>785</v>
      </c>
      <c r="F144" s="1767" t="str">
        <f>IF(F143="","",IF(M33="",'Parameter tables'!L182,IF(M33="a",'Parameter tables'!L180,IF(M33="b",'Parameter tables'!L181,IF(M33="c",'Parameter tables'!L182,IF(M33="d",'Parameter tables'!L183,IF(M33="e",'Parameter tables'!L184,"?")))))))</f>
        <v/>
      </c>
      <c r="G144" s="1824" t="str">
        <f>IF(F143="","",IF(M33="",'Parameter tables'!A182,IF(M33="a",'Parameter tables'!A180,IF(M33="b",'Parameter tables'!A181,IF(M33="c",'Parameter tables'!A182,IF(M33="d",'Parameter tables'!A183,IF(M33="e",'Parameter tables'!A184,"?")))))))</f>
        <v/>
      </c>
      <c r="H144" s="1871"/>
      <c r="I144" s="1498"/>
      <c r="J144" s="2861" t="s">
        <v>858</v>
      </c>
      <c r="K144" s="2862"/>
      <c r="L144" s="1243"/>
      <c r="M144" s="1872" t="s">
        <v>1074</v>
      </c>
      <c r="N144" s="1873" t="str">
        <f>IF(M11="","",IF(L134&gt;=7*(L130^(0.27*L130^-0.1)),((10/M118)^0.5)*(F127+1)*((F118/100)^0.4)*L130^(-0.65*F127^0.25),((10/M118)^0.5)*0.4*F127*((F118/100)^0.4)*L130^(-0.65*F127^0.25)))</f>
        <v/>
      </c>
      <c r="O144" s="1874"/>
      <c r="P144" s="1679" t="s">
        <v>578</v>
      </c>
      <c r="Q144" s="1566"/>
      <c r="S144" s="73"/>
      <c r="T144" s="1875"/>
      <c r="U144" s="1876"/>
      <c r="V144" s="1877"/>
      <c r="W144" s="1878"/>
      <c r="X144" s="1878"/>
      <c r="Y144" s="73"/>
      <c r="Z144" s="1879"/>
      <c r="AA144" s="1880"/>
      <c r="AB144" s="73"/>
      <c r="AC144" s="1146"/>
    </row>
    <row r="145" spans="1:31" ht="13.9" customHeight="1">
      <c r="A145" s="2905"/>
      <c r="B145" s="2906"/>
      <c r="C145" s="2906"/>
      <c r="D145" s="1634" t="s">
        <v>554</v>
      </c>
      <c r="E145" s="1881" t="s">
        <v>785</v>
      </c>
      <c r="F145" s="1882" t="str">
        <f>IF(F143="","",IF(M34="",'Parameter tables'!L182,IF(M34="a",'Parameter tables'!L180,IF(M34="b",'Parameter tables'!L181,IF(M34="c",'Parameter tables'!L182,IF(M34="d",'Parameter tables'!L183,IF(M34="e",'Parameter tables'!L184,"?")))))))</f>
        <v/>
      </c>
      <c r="G145" s="1759" t="str">
        <f>IF(F143="","",IF(M34="",'Parameter tables'!A182,IF(M34="a",'Parameter tables'!A180,IF(M34="b",'Parameter tables'!A181,IF(M34="c",'Parameter tables'!A182,IF(M34="d",'Parameter tables'!A183,IF(M34="e",'Parameter tables'!A184,"?")))))))</f>
        <v/>
      </c>
      <c r="H145" s="1852"/>
      <c r="I145" s="1498"/>
      <c r="J145" s="2863"/>
      <c r="K145" s="2864"/>
      <c r="L145" s="917"/>
      <c r="M145" s="1883" t="s">
        <v>1075</v>
      </c>
      <c r="N145" s="1884" t="str">
        <f>IF(OR(M28="",M28="i"),"",((10/M118)^0.5)*(F142+1)*((F118/100)^0.4)*M130^(-0.65*F142^0.25))</f>
        <v/>
      </c>
      <c r="O145" s="1874"/>
      <c r="P145" s="1679" t="s">
        <v>578</v>
      </c>
      <c r="Q145" s="1566"/>
      <c r="S145" s="59"/>
      <c r="T145" s="1875"/>
      <c r="U145" s="1876"/>
      <c r="V145" s="1877"/>
      <c r="W145" s="61"/>
      <c r="X145" s="61"/>
      <c r="Y145" s="73"/>
      <c r="Z145" s="1879"/>
      <c r="AA145" s="1885" t="s">
        <v>1111</v>
      </c>
      <c r="AB145" s="1856" t="e">
        <f>IF(L134&gt;=7*(L130^(0.27*L130^-0.1)),((10/M118)^0.5)*(F127+1)*((F118/100)^0.4)*L130^(-0.65*F127^0.25),((10/M118)^0.5)*0.4*F127*((F118/100)^0.4)*L130^(-0.65*F127^0.25))</f>
        <v>#VALUE!</v>
      </c>
      <c r="AC145" s="1146"/>
    </row>
    <row r="146" spans="1:31" ht="13.9" customHeight="1">
      <c r="A146" s="1833" t="s">
        <v>712</v>
      </c>
      <c r="B146" s="1788"/>
      <c r="C146" s="1788"/>
      <c r="D146" s="1886"/>
      <c r="E146" s="1834" t="s">
        <v>96</v>
      </c>
      <c r="F146" s="1785" t="str">
        <f>IF(M28="","",IF(M36="",'Parameter tables'!L140,IF(M36="a",'Parameter tables'!L140,IF(M36="b",'Parameter tables'!L140,IF(M36="c",'Parameter tables'!L140,IF(M36="d",'Parameter tables'!L143,IF(M36="e",'Parameter tables'!L144,IF(M36="f",'Parameter tables'!L145,IF(M36="g",'Parameter tables'!L146,"?")))))))))</f>
        <v/>
      </c>
      <c r="G146" s="1887"/>
      <c r="H146" s="1888"/>
      <c r="I146" s="1595"/>
      <c r="J146" s="1588"/>
      <c r="K146" s="1588"/>
      <c r="M146" s="1602"/>
      <c r="N146" s="1889"/>
      <c r="O146" s="1874"/>
      <c r="P146" s="1679"/>
      <c r="Q146" s="1674"/>
      <c r="S146" s="73"/>
      <c r="T146" s="1875"/>
      <c r="U146" s="1876"/>
      <c r="V146" s="1877"/>
      <c r="W146" s="1878"/>
      <c r="X146" s="1878"/>
      <c r="Y146" s="73"/>
      <c r="Z146" s="1879"/>
      <c r="AA146" s="1880"/>
      <c r="AB146" s="73"/>
    </row>
    <row r="147" spans="1:31" ht="13.9" customHeight="1">
      <c r="A147" s="1833" t="s">
        <v>911</v>
      </c>
      <c r="B147" s="1788"/>
      <c r="C147" s="1788"/>
      <c r="D147" s="1886"/>
      <c r="E147" s="1834" t="s">
        <v>202</v>
      </c>
      <c r="F147" s="1745" t="str">
        <f>IF(M28="","",IF(M37="",'Parameter tables'!L198,IF(M37="a",'Parameter tables'!L198,IF(M37="b",'Parameter tables'!L199,IF(M37="c",'Parameter tables'!L200,"?")))))</f>
        <v/>
      </c>
      <c r="G147" s="1887"/>
      <c r="H147" s="1888"/>
      <c r="I147" s="1595"/>
      <c r="J147" s="1609"/>
      <c r="K147" s="1514"/>
      <c r="L147" s="1514"/>
      <c r="M147" s="1514"/>
      <c r="P147" s="1566"/>
      <c r="Q147" s="1566"/>
      <c r="S147" s="1890" t="s">
        <v>1112</v>
      </c>
      <c r="T147" s="1891" t="s">
        <v>1141</v>
      </c>
      <c r="U147" s="1892"/>
      <c r="V147" s="1893"/>
      <c r="W147" s="1893"/>
      <c r="X147" s="1893"/>
      <c r="Y147" s="1893"/>
      <c r="Z147" s="1894"/>
      <c r="AA147" s="1243"/>
      <c r="AB147" s="1895" t="e">
        <f>((10/M118)^0.5)*(F142+1)*((F118/100)^0.4)*M130^(-0.65*F142^0.25)</f>
        <v>#VALUE!</v>
      </c>
      <c r="AC147" s="827"/>
      <c r="AD147" s="1896"/>
      <c r="AE147" s="1897"/>
    </row>
    <row r="148" spans="1:31" ht="13.9" customHeight="1">
      <c r="A148" s="3230" t="s">
        <v>159</v>
      </c>
      <c r="B148" s="3231"/>
      <c r="C148" s="3231"/>
      <c r="D148" s="3232"/>
      <c r="E148" s="1767" t="s">
        <v>115</v>
      </c>
      <c r="F148" s="1898" t="str">
        <f>IF(OR(F143="-",F143="",F143=0),"-",IF(F143&gt;M118,"yes","no"))</f>
        <v>-</v>
      </c>
      <c r="G148" s="1731" t="s">
        <v>113</v>
      </c>
      <c r="H148" s="1756"/>
      <c r="I148" s="1595"/>
      <c r="J148" s="2815" t="s">
        <v>790</v>
      </c>
      <c r="K148" s="2816"/>
      <c r="L148" s="1899" t="s">
        <v>579</v>
      </c>
      <c r="M148" s="1900" t="str">
        <f>IF(M127="","",7*M127^0.4)</f>
        <v/>
      </c>
      <c r="N148" s="1627" t="s">
        <v>791</v>
      </c>
      <c r="O148" s="1627"/>
      <c r="P148" s="1627"/>
      <c r="Q148" s="1901"/>
      <c r="R148" s="1902"/>
      <c r="S148" s="1903" t="s">
        <v>857</v>
      </c>
      <c r="T148" s="1904"/>
      <c r="U148" s="1904"/>
      <c r="V148" s="1904"/>
      <c r="W148" s="1904"/>
      <c r="X148" s="1800"/>
      <c r="Y148" s="1800"/>
      <c r="Z148" s="353"/>
      <c r="AA148" s="1905"/>
      <c r="AB148" s="1906"/>
      <c r="AE148" s="1907"/>
    </row>
    <row r="149" spans="1:31" ht="13.9" customHeight="1">
      <c r="A149" s="3233"/>
      <c r="B149" s="3234"/>
      <c r="C149" s="3234"/>
      <c r="D149" s="3235"/>
      <c r="E149" s="1882" t="s">
        <v>116</v>
      </c>
      <c r="F149" s="1882" t="str">
        <f>IF(OR(F143="-",F143="",F143=0),"-",IF(F143&gt;M119,"yes","no"))</f>
        <v>-</v>
      </c>
      <c r="G149" s="1844" t="s">
        <v>114</v>
      </c>
      <c r="H149" s="1908"/>
      <c r="I149" s="1595"/>
      <c r="J149" s="2982"/>
      <c r="K149" s="3000"/>
      <c r="L149" s="1549" t="s">
        <v>286</v>
      </c>
      <c r="M149" s="1909" t="str">
        <f>IF(M127="","",5.6*M127^0.375)</f>
        <v/>
      </c>
      <c r="N149" s="1910" t="s">
        <v>792</v>
      </c>
      <c r="O149" s="1910"/>
      <c r="P149" s="1910"/>
      <c r="Q149" s="1911"/>
      <c r="U149" s="59"/>
      <c r="V149" s="59"/>
      <c r="W149" s="59"/>
      <c r="X149" s="59"/>
      <c r="Y149" s="59"/>
      <c r="Z149" s="1912"/>
      <c r="AB149" s="1913"/>
      <c r="AC149" s="994"/>
      <c r="AD149" s="1914"/>
    </row>
    <row r="150" spans="1:31" ht="15.75" customHeight="1">
      <c r="A150" s="2815" t="s">
        <v>786</v>
      </c>
      <c r="B150" s="2981"/>
      <c r="C150" s="2816"/>
      <c r="D150" s="1915"/>
      <c r="E150" s="1766" t="s">
        <v>787</v>
      </c>
      <c r="F150" s="1916" t="str">
        <f>P163</f>
        <v/>
      </c>
      <c r="G150" s="1917" t="s">
        <v>582</v>
      </c>
      <c r="H150" s="1858"/>
      <c r="I150" s="1918"/>
      <c r="J150" s="2817"/>
      <c r="K150" s="2818"/>
      <c r="L150" s="1919" t="s">
        <v>793</v>
      </c>
      <c r="M150" s="1687" t="str">
        <f>IF(M127="","",0.2*F118)</f>
        <v/>
      </c>
      <c r="N150" s="1848" t="s">
        <v>794</v>
      </c>
      <c r="O150" s="1848"/>
      <c r="P150" s="1848"/>
      <c r="Q150" s="1920"/>
      <c r="S150" s="1921"/>
      <c r="X150" s="1923"/>
      <c r="Y150" s="1681" t="s">
        <v>1207</v>
      </c>
      <c r="Z150" s="3410" t="s">
        <v>1208</v>
      </c>
      <c r="AB150" s="1913"/>
      <c r="AD150" s="1907"/>
    </row>
    <row r="151" spans="1:31" ht="13.9" customHeight="1">
      <c r="A151" s="2982"/>
      <c r="B151" s="2983"/>
      <c r="C151" s="3000"/>
      <c r="D151" s="1924"/>
      <c r="E151" s="1580" t="s">
        <v>788</v>
      </c>
      <c r="F151" s="1925" t="str">
        <f>IF(M28="","",IF(M127="","",10^((F143*LOG(P163)+LOG(M127))/(F143+1))))</f>
        <v/>
      </c>
      <c r="G151" s="1926" t="s">
        <v>820</v>
      </c>
      <c r="H151" s="1927"/>
      <c r="I151" s="1918"/>
      <c r="R151" s="826"/>
      <c r="S151" s="1928"/>
      <c r="T151" s="1923"/>
      <c r="U151" s="1923"/>
      <c r="V151" s="1923"/>
      <c r="W151" s="1681" t="s">
        <v>1209</v>
      </c>
      <c r="X151" s="1922" t="s">
        <v>1210</v>
      </c>
      <c r="Y151" s="1929"/>
      <c r="Z151" s="1923"/>
      <c r="AB151" s="1913"/>
      <c r="AC151" s="1319"/>
    </row>
    <row r="152" spans="1:31" ht="13.9" customHeight="1">
      <c r="A152" s="2817"/>
      <c r="B152" s="2984"/>
      <c r="C152" s="2818"/>
      <c r="D152" s="1930"/>
      <c r="E152" s="1561" t="s">
        <v>789</v>
      </c>
      <c r="F152" s="1931" t="str">
        <f>IF(M28="","",IF(M127="",F150,F151))</f>
        <v/>
      </c>
      <c r="G152" s="1861" t="str">
        <f>IF(F152="","",IF(F152&gt;V105,W105,IF(F152&gt;V106,W106,IF(F152&gt;V107,W107,IF(F152&gt;V108,W108,IF(F152&gt;V109,W109,W110))))))</f>
        <v/>
      </c>
      <c r="H152" s="1908"/>
      <c r="I152" s="1918"/>
      <c r="U152" s="1681"/>
      <c r="V152" s="1922"/>
      <c r="Y152" s="1863"/>
      <c r="AB152" s="73"/>
    </row>
    <row r="153" spans="1:31" ht="13.9" customHeight="1">
      <c r="D153" s="1"/>
      <c r="E153" s="1"/>
      <c r="K153" s="1"/>
      <c r="L153" s="1502"/>
      <c r="M153" s="1783"/>
      <c r="R153" s="826"/>
      <c r="S153" s="826"/>
      <c r="W153" s="827"/>
      <c r="X153" s="1"/>
      <c r="Y153" s="827"/>
      <c r="AB153" s="73"/>
    </row>
    <row r="154" spans="1:31" ht="13.9" customHeight="1">
      <c r="A154" s="1497"/>
      <c r="B154" s="1701" t="s">
        <v>400</v>
      </c>
      <c r="C154" s="1497"/>
      <c r="D154" s="1497"/>
      <c r="E154" s="826"/>
      <c r="I154" s="1169"/>
      <c r="R154" s="826"/>
      <c r="V154" s="1932"/>
      <c r="Y154" s="1863"/>
    </row>
    <row r="155" spans="1:31" ht="13.9" customHeight="1">
      <c r="A155" s="3180" t="s">
        <v>642</v>
      </c>
      <c r="B155" s="3211"/>
      <c r="C155" s="3211"/>
      <c r="D155" s="3181"/>
      <c r="E155" s="3180" t="s">
        <v>795</v>
      </c>
      <c r="F155" s="3211"/>
      <c r="G155" s="3181"/>
      <c r="H155" s="3211" t="s">
        <v>796</v>
      </c>
      <c r="I155" s="3211"/>
      <c r="J155" s="3181"/>
      <c r="K155" s="3209" t="s">
        <v>668</v>
      </c>
      <c r="L155" s="3209"/>
      <c r="M155" s="3210"/>
      <c r="N155" s="3207" t="s">
        <v>797</v>
      </c>
      <c r="O155" s="1507"/>
      <c r="P155" s="3180" t="s">
        <v>545</v>
      </c>
      <c r="Q155" s="3181"/>
      <c r="S155" s="1521"/>
      <c r="T155" s="66"/>
      <c r="U155" s="66"/>
      <c r="V155" s="1932"/>
      <c r="W155" s="70"/>
      <c r="X155" s="70"/>
      <c r="Z155" s="1169"/>
      <c r="AA155" s="1169"/>
      <c r="AB155" s="1169"/>
    </row>
    <row r="156" spans="1:31" ht="13.9" customHeight="1">
      <c r="A156" s="3239"/>
      <c r="B156" s="3240"/>
      <c r="C156" s="3240"/>
      <c r="D156" s="3241"/>
      <c r="E156" s="3182"/>
      <c r="F156" s="3212"/>
      <c r="G156" s="3183"/>
      <c r="H156" s="3212"/>
      <c r="I156" s="3212"/>
      <c r="J156" s="3183"/>
      <c r="K156" s="3200" t="s">
        <v>798</v>
      </c>
      <c r="L156" s="3201"/>
      <c r="M156" s="3202"/>
      <c r="N156" s="3208"/>
      <c r="O156" s="1933"/>
      <c r="P156" s="3182"/>
      <c r="Q156" s="3183"/>
      <c r="S156" s="1224" t="s">
        <v>813</v>
      </c>
      <c r="T156" s="1934"/>
      <c r="U156" s="1935" t="s">
        <v>814</v>
      </c>
      <c r="V156" s="1936" t="s">
        <v>815</v>
      </c>
      <c r="W156" s="70"/>
      <c r="X156" s="61"/>
      <c r="Y156" s="73"/>
      <c r="Z156" s="1877"/>
      <c r="AA156" s="61"/>
      <c r="AB156" s="61"/>
    </row>
    <row r="157" spans="1:31" ht="13.9" customHeight="1">
      <c r="A157" s="3242" t="s">
        <v>667</v>
      </c>
      <c r="B157" s="3243"/>
      <c r="C157" s="3243"/>
      <c r="D157" s="3244"/>
      <c r="E157" s="1937" t="s">
        <v>947</v>
      </c>
      <c r="F157" s="1938" t="s">
        <v>241</v>
      </c>
      <c r="G157" s="1939" t="s">
        <v>543</v>
      </c>
      <c r="H157" s="1937" t="s">
        <v>947</v>
      </c>
      <c r="I157" s="1938" t="s">
        <v>241</v>
      </c>
      <c r="J157" s="1939" t="s">
        <v>543</v>
      </c>
      <c r="K157" s="1937" t="s">
        <v>947</v>
      </c>
      <c r="L157" s="1940" t="s">
        <v>567</v>
      </c>
      <c r="M157" s="1941" t="s">
        <v>543</v>
      </c>
      <c r="N157" s="1942" t="s">
        <v>117</v>
      </c>
      <c r="O157" s="1943"/>
      <c r="P157" s="3184" t="s">
        <v>799</v>
      </c>
      <c r="Q157" s="3185"/>
      <c r="S157" s="72"/>
      <c r="T157" s="1875"/>
      <c r="U157" s="1876"/>
      <c r="V157" s="1944"/>
      <c r="W157" s="61"/>
      <c r="X157" s="61"/>
      <c r="Y157" s="73"/>
      <c r="Z157" s="1877"/>
      <c r="AA157" s="1945"/>
      <c r="AB157" s="61"/>
    </row>
    <row r="158" spans="1:31" ht="13.9" customHeight="1">
      <c r="A158" s="1946" t="s">
        <v>24</v>
      </c>
      <c r="B158" s="1947" t="str">
        <f>'Parameter tables'!O167</f>
        <v>Unknown type</v>
      </c>
      <c r="C158" s="1571"/>
      <c r="D158" s="1948"/>
      <c r="E158" s="1949">
        <f>'Parameter tables'!S167</f>
        <v>50</v>
      </c>
      <c r="F158" s="1554" t="str">
        <f>IF(M$28="","",IF(M$30="","",M$30))</f>
        <v/>
      </c>
      <c r="G158" s="1950" t="str">
        <f>IF(M$28&lt;&gt;"f","",IF(F158&lt;&gt;"",F158,E158))</f>
        <v/>
      </c>
      <c r="H158" s="1951">
        <f>'Parameter tables'!U167</f>
        <v>0.25</v>
      </c>
      <c r="I158" s="1665" t="str">
        <f>IF(M$28="","",IF(M35="","",F$142))</f>
        <v/>
      </c>
      <c r="J158" s="1952" t="str">
        <f>IF(M$28&lt;&gt;"f","",IF(I158&lt;&gt;"",I158,H158))</f>
        <v/>
      </c>
      <c r="K158" s="1953">
        <f>'Parameter tables'!Y167</f>
        <v>1E-4</v>
      </c>
      <c r="L158" s="1536" t="str">
        <f>IF(M$32="","",M$32/1000)</f>
        <v/>
      </c>
      <c r="M158" s="1950" t="str">
        <f>IF(M$28&lt;&gt;"f","",IF(L158&lt;&gt;"",L158,K158))</f>
        <v/>
      </c>
      <c r="N158" s="1954" t="str">
        <f>IF(M28&lt;&gt;"f","",M158^0.333)</f>
        <v/>
      </c>
      <c r="O158" s="1955"/>
      <c r="P158" s="3186" t="str">
        <f>IF(M28&lt;&gt;"f","",G158*0.2*(J158^0.5)*(M158^(0.37*J158^(-0.2))))</f>
        <v/>
      </c>
      <c r="Q158" s="3187"/>
      <c r="S158" s="72"/>
      <c r="T158" s="1875"/>
      <c r="U158" s="1876"/>
      <c r="V158" s="1944"/>
      <c r="W158" s="61"/>
      <c r="X158" s="61"/>
      <c r="Y158" s="73"/>
      <c r="Z158" s="1877"/>
      <c r="AA158" s="1945"/>
      <c r="AB158" s="61"/>
    </row>
    <row r="159" spans="1:31" ht="13.9" customHeight="1">
      <c r="A159" s="1956" t="s">
        <v>26</v>
      </c>
      <c r="B159" s="1957" t="str">
        <f>'Parameter tables'!O168</f>
        <v xml:space="preserve">Crushed zone, </v>
      </c>
      <c r="C159" s="1584"/>
      <c r="D159" s="1958"/>
      <c r="E159" s="1959">
        <f>'Parameter tables'!S168</f>
        <v>75</v>
      </c>
      <c r="F159" s="1554" t="str">
        <f>IF(M$28="","",IF(M$30="","",M$30))</f>
        <v/>
      </c>
      <c r="G159" s="1950" t="str">
        <f>IF(M$28&lt;&gt;"g","",IF(F159&lt;&gt;"",F159,E159))</f>
        <v/>
      </c>
      <c r="H159" s="1951">
        <f>'Parameter tables'!U168</f>
        <v>1</v>
      </c>
      <c r="I159" s="1960" t="str">
        <f>IF(M$28="","",IF(M35="","",F$142))</f>
        <v/>
      </c>
      <c r="J159" s="1952" t="str">
        <f>IF(M$28&lt;&gt;"g","",IF(I159&lt;&gt;"",I159,H159))</f>
        <v/>
      </c>
      <c r="K159" s="1951">
        <f>'Parameter tables'!Y168</f>
        <v>1E-4</v>
      </c>
      <c r="L159" s="1536" t="str">
        <f>IF(M$32="","",M$32/1000)</f>
        <v/>
      </c>
      <c r="M159" s="1950" t="str">
        <f>IF(M$28&lt;&gt;"g","",IF(L159&lt;&gt;"",L159,K159))</f>
        <v/>
      </c>
      <c r="N159" s="1961" t="str">
        <f>IF(M28&lt;&gt;"g","",M159^0.333)</f>
        <v/>
      </c>
      <c r="O159" s="1962"/>
      <c r="P159" s="3188" t="str">
        <f>IF(M28&lt;&gt;"g","",G159*0.2*(J159^0.5)*(M159^(0.37*J159^(-0.2))))</f>
        <v/>
      </c>
      <c r="Q159" s="3189"/>
      <c r="S159" s="72"/>
      <c r="T159" s="1875"/>
      <c r="U159" s="1876"/>
      <c r="V159" s="1944"/>
      <c r="W159" s="61"/>
      <c r="X159" s="61"/>
      <c r="Y159" s="73"/>
      <c r="Z159" s="1877"/>
      <c r="AA159" s="61"/>
      <c r="AB159" s="61"/>
      <c r="AC159" s="66"/>
    </row>
    <row r="160" spans="1:31">
      <c r="A160" s="1956" t="s">
        <v>49</v>
      </c>
      <c r="B160" s="1957" t="str">
        <f>'Parameter tables'!O169</f>
        <v xml:space="preserve">Crushed zone, </v>
      </c>
      <c r="C160" s="1584"/>
      <c r="D160" s="1958"/>
      <c r="E160" s="1959">
        <f>'Parameter tables'!S169</f>
        <v>50</v>
      </c>
      <c r="F160" s="1554" t="str">
        <f>IF(M$28="","",IF(M$30="","",M$30))</f>
        <v/>
      </c>
      <c r="G160" s="1950" t="str">
        <f>IF(M$28&lt;&gt;"h","",IF(F160&lt;&gt;"",F160,E160))</f>
        <v/>
      </c>
      <c r="H160" s="1951">
        <f>'Parameter tables'!U169</f>
        <v>0.125</v>
      </c>
      <c r="I160" s="1960" t="str">
        <f>IF(M$28="","",IF(M35="","",F$142))</f>
        <v/>
      </c>
      <c r="J160" s="1952" t="str">
        <f>IF(M$28&lt;&gt;"h","",IF(I160&lt;&gt;"",I160,H160))</f>
        <v/>
      </c>
      <c r="K160" s="1951">
        <f>'Parameter tables'!Y169</f>
        <v>1.0000000000000001E-5</v>
      </c>
      <c r="L160" s="1536" t="str">
        <f>IF(M$32="","",M$32/1000)</f>
        <v/>
      </c>
      <c r="M160" s="1950" t="str">
        <f>IF(M$28&lt;&gt;"h","",IF(L160&lt;&gt;"",L160,K160))</f>
        <v/>
      </c>
      <c r="N160" s="1961" t="str">
        <f>IF(M28&lt;&gt;"h","",M160^0.333)</f>
        <v/>
      </c>
      <c r="O160" s="1962"/>
      <c r="P160" s="3188" t="str">
        <f>IF(M28&lt;&gt;"h","",G160*0.2*(J160^0.5)*(M160^(0.37*J160^(-0.2))))</f>
        <v/>
      </c>
      <c r="Q160" s="3189"/>
      <c r="S160" s="72"/>
      <c r="T160" s="1875"/>
      <c r="U160" s="1876"/>
      <c r="V160" s="1944"/>
      <c r="W160" s="61"/>
      <c r="X160" s="61"/>
      <c r="Y160" s="73"/>
      <c r="Z160" s="1877"/>
      <c r="AA160" s="61"/>
      <c r="AB160" s="61"/>
    </row>
    <row r="161" spans="1:30" ht="13.9" customHeight="1">
      <c r="A161" s="1963" t="s">
        <v>51</v>
      </c>
      <c r="B161" s="1964" t="str">
        <f>'Parameter tables'!O170</f>
        <v>Zone with</v>
      </c>
      <c r="C161" s="1563"/>
      <c r="D161" s="1965"/>
      <c r="E161" s="1966">
        <f>'Parameter tables'!S170</f>
        <v>7.5000000000000011E-2</v>
      </c>
      <c r="F161" s="1558" t="str">
        <f>IF(M$28="","",IF(M$30="","",M$30))</f>
        <v/>
      </c>
      <c r="G161" s="1967" t="str">
        <f>IF(M$28&lt;&gt;"i","",IF(F161&lt;&gt;"",F161,E161))</f>
        <v/>
      </c>
      <c r="H161" s="3221" t="str">
        <f>'Parameter tables'!U170</f>
        <v>(no joints in soft fill)</v>
      </c>
      <c r="I161" s="3222"/>
      <c r="J161" s="1968"/>
      <c r="K161" s="1951">
        <f>'Parameter tables'!Y170</f>
        <v>1.0000000000000001E-5</v>
      </c>
      <c r="L161" s="1516"/>
      <c r="M161" s="1967" t="str">
        <f>IF(M$28="i",K161,"")</f>
        <v/>
      </c>
      <c r="N161" s="1961" t="str">
        <f>IF(M28&lt;&gt;"i","",M161^0.333)</f>
        <v/>
      </c>
      <c r="O161" s="1969"/>
      <c r="P161" s="3190" t="str">
        <f>IF(M28&lt;&gt;"i","",G161*0.5)</f>
        <v/>
      </c>
      <c r="Q161" s="3191"/>
      <c r="R161" s="1970"/>
      <c r="S161" s="72"/>
      <c r="T161" s="1875"/>
      <c r="U161" s="1876"/>
      <c r="V161" s="1944"/>
      <c r="W161" s="61"/>
      <c r="X161" s="61"/>
      <c r="Y161" s="73"/>
      <c r="Z161" s="1877"/>
      <c r="AA161" s="61"/>
      <c r="AB161" s="61"/>
    </row>
    <row r="162" spans="1:30" ht="13.9" customHeight="1">
      <c r="B162" s="1971"/>
      <c r="C162" s="1972"/>
      <c r="D162" s="1973" t="s">
        <v>1041</v>
      </c>
      <c r="E162" s="2052" t="s">
        <v>1151</v>
      </c>
      <c r="H162" s="1974"/>
      <c r="I162" s="1975"/>
      <c r="J162" s="1976"/>
      <c r="K162" s="1977"/>
      <c r="L162" s="1978"/>
      <c r="M162" s="1976" t="str">
        <f>IF(SUM(M158:M161)=0,"",SUM(M158:M161))</f>
        <v/>
      </c>
      <c r="N162" s="1979" t="str">
        <f>IF(SUM(N158:N161)=0,"",SUM(N158:N161))</f>
        <v/>
      </c>
      <c r="O162" s="1980"/>
      <c r="P162" s="3192"/>
      <c r="Q162" s="3193"/>
      <c r="S162" s="66"/>
      <c r="T162" s="72"/>
      <c r="U162" s="1743"/>
      <c r="V162" s="255"/>
      <c r="W162" s="66"/>
      <c r="X162" s="66"/>
      <c r="Y162" s="66"/>
      <c r="Z162" s="66"/>
      <c r="AA162" s="66"/>
      <c r="AB162" s="66"/>
    </row>
    <row r="163" spans="1:30" ht="13.9" customHeight="1">
      <c r="A163" s="1514"/>
      <c r="B163" s="1981" t="s">
        <v>1152</v>
      </c>
      <c r="C163" s="1982"/>
      <c r="D163" s="1982"/>
      <c r="E163" s="1983"/>
      <c r="F163" s="1983"/>
      <c r="G163" s="1983"/>
      <c r="H163" s="1984"/>
      <c r="I163" s="1523" t="s">
        <v>829</v>
      </c>
      <c r="J163" s="1985">
        <f>SUM(J158:J160)</f>
        <v>0</v>
      </c>
      <c r="K163" s="1984"/>
      <c r="L163" s="1986"/>
      <c r="M163" s="1987" t="str">
        <f>IF(SUM(M158:M161)=0,"",IF(M162&lt;0.000001,0.000001,SUM(M158:M161)))</f>
        <v/>
      </c>
      <c r="N163" s="1988" t="str">
        <f>IF(SUM(N158:N161)=0,"",IF(N162&lt;0.01,0.001,SUM(N158:N161)))</f>
        <v/>
      </c>
      <c r="O163" s="1989"/>
      <c r="P163" s="3198" t="str">
        <f>IF(SUM(P158:P161)=0,"",SUM(P158:P161))</f>
        <v/>
      </c>
      <c r="Q163" s="3199"/>
    </row>
    <row r="164" spans="1:30" ht="13.9" customHeight="1">
      <c r="C164" s="1990"/>
      <c r="D164" s="1990"/>
      <c r="E164" s="1875"/>
      <c r="F164" s="1875"/>
      <c r="G164" s="1875"/>
      <c r="H164" s="398"/>
      <c r="I164" s="1991" t="s">
        <v>1088</v>
      </c>
      <c r="J164" s="1992"/>
      <c r="S164" s="354"/>
      <c r="T164" s="66"/>
      <c r="U164" s="1"/>
      <c r="V164" s="1"/>
      <c r="W164" s="1"/>
    </row>
    <row r="165" spans="1:30" ht="13.9" customHeight="1">
      <c r="B165" s="1993"/>
      <c r="D165" s="826"/>
      <c r="E165" s="826"/>
      <c r="H165" s="398"/>
      <c r="I165" s="1994" t="s">
        <v>1089</v>
      </c>
      <c r="K165" s="1674"/>
      <c r="L165" s="1995"/>
      <c r="M165" s="1995"/>
      <c r="P165" s="1169"/>
      <c r="Q165" s="1169"/>
      <c r="S165" s="70"/>
      <c r="U165" s="70"/>
      <c r="V165" s="70"/>
      <c r="W165" s="70"/>
      <c r="Z165" s="72"/>
    </row>
    <row r="166" spans="1:30" ht="13.9" customHeight="1">
      <c r="B166" s="1993"/>
      <c r="D166" s="826"/>
      <c r="E166" s="826"/>
      <c r="H166" s="398"/>
      <c r="I166" s="16"/>
      <c r="K166" s="16"/>
      <c r="M166" s="1996"/>
      <c r="N166" s="16"/>
      <c r="O166" s="16"/>
      <c r="P166" s="3179"/>
      <c r="Q166" s="3179"/>
      <c r="R166" s="826"/>
      <c r="S166" s="70"/>
      <c r="U166" s="70"/>
      <c r="V166" s="70"/>
      <c r="W166" s="70"/>
      <c r="Z166" s="1997"/>
    </row>
    <row r="167" spans="1:30" ht="15" customHeight="1">
      <c r="D167" s="826"/>
      <c r="E167" s="826"/>
      <c r="I167" s="16"/>
      <c r="J167" s="16"/>
      <c r="K167" s="1998"/>
      <c r="L167" s="1998"/>
      <c r="M167" s="1999"/>
      <c r="N167" s="2000"/>
      <c r="O167" s="2000"/>
      <c r="P167" s="2001"/>
      <c r="Q167" s="2001"/>
      <c r="R167" s="826"/>
      <c r="S167" s="70"/>
      <c r="U167" s="70"/>
      <c r="V167" s="70"/>
      <c r="W167" s="70"/>
      <c r="Z167" s="1997"/>
    </row>
    <row r="168" spans="1:30" ht="14.25" customHeight="1">
      <c r="B168" s="3225"/>
      <c r="C168" s="3225"/>
      <c r="D168" s="72"/>
      <c r="E168" s="72"/>
      <c r="F168" s="258"/>
      <c r="G168" s="59"/>
      <c r="H168" s="1"/>
      <c r="I168" s="16"/>
      <c r="J168" s="16"/>
      <c r="K168" s="16"/>
      <c r="L168" s="1998"/>
      <c r="M168" s="1996"/>
      <c r="N168" s="3"/>
      <c r="O168" s="3"/>
      <c r="P168" s="3"/>
      <c r="Q168" s="3"/>
      <c r="R168" s="826"/>
      <c r="S168" s="70"/>
      <c r="U168" s="70"/>
      <c r="V168" s="70"/>
      <c r="W168" s="70"/>
      <c r="Z168" s="1997"/>
      <c r="AA168" s="66"/>
      <c r="AB168" s="66"/>
      <c r="AC168" s="66"/>
    </row>
    <row r="169" spans="1:30">
      <c r="B169" s="3225"/>
      <c r="C169" s="3225"/>
      <c r="D169" s="72"/>
      <c r="E169" s="72"/>
      <c r="F169" s="258"/>
      <c r="G169" s="59"/>
      <c r="H169" s="1"/>
      <c r="I169" s="16"/>
      <c r="J169" s="16"/>
      <c r="K169" s="16"/>
      <c r="L169" s="1998"/>
      <c r="M169" s="1999"/>
      <c r="N169" s="2001"/>
      <c r="O169" s="2001"/>
      <c r="P169" s="2001"/>
      <c r="Q169" s="2001"/>
      <c r="R169" s="826"/>
      <c r="S169" s="70"/>
      <c r="U169" s="70"/>
      <c r="V169" s="70"/>
      <c r="W169" s="2002"/>
      <c r="Z169" s="1502"/>
      <c r="AA169" s="1169"/>
      <c r="AB169" s="1169"/>
      <c r="AC169" s="1169"/>
    </row>
    <row r="170" spans="1:30">
      <c r="B170" s="3224"/>
      <c r="C170" s="3224"/>
      <c r="D170" s="72"/>
      <c r="E170" s="2003"/>
      <c r="F170" s="254"/>
      <c r="G170" s="59"/>
      <c r="H170" s="1"/>
      <c r="P170" s="826"/>
      <c r="Q170" s="826"/>
      <c r="S170" s="70"/>
      <c r="U170" s="72"/>
      <c r="V170" s="70"/>
      <c r="W170" s="70"/>
      <c r="Z170" s="1"/>
      <c r="AA170" s="2004"/>
      <c r="AB170" s="2004"/>
      <c r="AC170" s="2004"/>
    </row>
    <row r="171" spans="1:30" ht="14.25" customHeight="1">
      <c r="B171" s="3224"/>
      <c r="C171" s="3224"/>
      <c r="D171" s="72"/>
      <c r="E171" s="2005"/>
      <c r="F171" s="254"/>
      <c r="G171" s="59"/>
      <c r="H171" s="2006"/>
      <c r="P171" s="826"/>
      <c r="Q171" s="826"/>
      <c r="S171" s="70"/>
      <c r="U171" s="70"/>
      <c r="V171" s="1"/>
      <c r="W171" s="1"/>
      <c r="Z171" s="1"/>
      <c r="AA171" s="2004"/>
      <c r="AB171" s="2004"/>
      <c r="AC171" s="2004"/>
    </row>
    <row r="172" spans="1:30" ht="15" customHeight="1">
      <c r="D172" s="826"/>
      <c r="E172" s="826"/>
      <c r="H172" s="1"/>
      <c r="P172" s="826"/>
      <c r="Q172" s="826"/>
      <c r="S172" s="70"/>
      <c r="U172" s="70"/>
      <c r="V172" s="1"/>
      <c r="W172" s="1"/>
      <c r="Z172" s="1"/>
      <c r="AA172" s="2007"/>
      <c r="AB172" s="2007"/>
      <c r="AC172" s="2007"/>
      <c r="AD172" s="2007"/>
    </row>
    <row r="173" spans="1:30" ht="14.25" customHeight="1">
      <c r="D173" s="826"/>
      <c r="E173" s="826"/>
      <c r="H173" s="1"/>
      <c r="P173" s="826"/>
      <c r="Q173" s="826"/>
      <c r="S173" s="70"/>
      <c r="U173" s="72"/>
      <c r="V173" s="1"/>
      <c r="W173" s="1"/>
      <c r="Z173" s="1"/>
      <c r="AA173" s="2008"/>
      <c r="AB173" s="2008"/>
      <c r="AC173" s="2008"/>
      <c r="AD173" s="2008"/>
    </row>
    <row r="174" spans="1:30" ht="15" customHeight="1">
      <c r="H174" s="1"/>
      <c r="P174" s="826"/>
      <c r="Q174" s="826"/>
      <c r="S174" s="70"/>
      <c r="U174" s="2005"/>
      <c r="V174" s="825"/>
      <c r="W174" s="255"/>
      <c r="X174" s="255"/>
      <c r="Z174" s="2009"/>
      <c r="AA174" s="2009"/>
      <c r="AB174" s="2009"/>
      <c r="AC174" s="2009"/>
      <c r="AD174" s="2009"/>
    </row>
    <row r="175" spans="1:30" ht="14.25" customHeight="1">
      <c r="H175" s="1"/>
      <c r="I175" s="1"/>
      <c r="X175" s="2010"/>
      <c r="Y175" s="2010"/>
      <c r="Z175" s="2010"/>
      <c r="AA175" s="2010"/>
      <c r="AB175" s="2010"/>
      <c r="AC175" s="2010"/>
      <c r="AD175" s="2006"/>
    </row>
    <row r="176" spans="1:30" ht="15.75" customHeight="1">
      <c r="P176" s="826"/>
      <c r="Q176" s="826"/>
      <c r="R176" s="826"/>
      <c r="S176" s="826"/>
      <c r="T176" s="826"/>
      <c r="X176" s="2010"/>
      <c r="Y176" s="2010"/>
      <c r="Z176" s="2010"/>
      <c r="AA176" s="2010"/>
      <c r="AB176" s="2010"/>
      <c r="AC176" s="2010"/>
      <c r="AD176" s="2006"/>
    </row>
    <row r="177" spans="2:30" ht="14.25" customHeight="1">
      <c r="B177" s="3223"/>
      <c r="C177" s="3223"/>
      <c r="D177" s="3223"/>
      <c r="E177" s="3223"/>
      <c r="G177" s="70"/>
      <c r="P177" s="826"/>
      <c r="Q177" s="826"/>
      <c r="R177" s="826"/>
      <c r="S177" s="826"/>
      <c r="T177" s="826"/>
      <c r="X177" s="2006"/>
      <c r="Y177" s="2006"/>
      <c r="Z177" s="2006"/>
      <c r="AA177" s="2006"/>
      <c r="AB177" s="2006"/>
      <c r="AC177" s="2006"/>
      <c r="AD177" s="2006"/>
    </row>
    <row r="178" spans="2:30">
      <c r="B178" s="3223"/>
      <c r="C178" s="3223"/>
      <c r="D178" s="3223"/>
      <c r="E178" s="3223"/>
      <c r="G178" s="70"/>
      <c r="H178" s="70"/>
      <c r="R178" s="826"/>
      <c r="S178" s="1"/>
      <c r="T178" s="2005"/>
      <c r="U178" s="2005"/>
      <c r="V178" s="2005"/>
      <c r="W178" s="2006"/>
      <c r="X178" s="2006"/>
      <c r="Y178" s="2006"/>
      <c r="Z178" s="2006"/>
      <c r="AA178" s="2006"/>
      <c r="AB178" s="2006"/>
      <c r="AC178" s="2006"/>
      <c r="AD178" s="2006"/>
    </row>
    <row r="179" spans="2:30" ht="14.25" customHeight="1">
      <c r="N179" s="1"/>
      <c r="O179" s="1"/>
      <c r="P179" s="1"/>
      <c r="Q179" s="1"/>
      <c r="R179" s="1"/>
      <c r="S179" s="1"/>
      <c r="T179" s="826"/>
      <c r="U179" s="2005"/>
      <c r="V179" s="2005"/>
      <c r="W179" s="2006"/>
      <c r="X179" s="2006"/>
      <c r="Y179" s="2006"/>
      <c r="Z179" s="2006"/>
      <c r="AA179" s="2006"/>
      <c r="AB179" s="2006"/>
      <c r="AC179" s="2006"/>
      <c r="AD179" s="2006"/>
    </row>
    <row r="180" spans="2:30">
      <c r="M180" s="1"/>
      <c r="N180" s="1"/>
      <c r="O180" s="1"/>
      <c r="R180" s="70"/>
      <c r="S180" s="1"/>
      <c r="T180" s="826"/>
      <c r="U180" s="2005"/>
      <c r="V180" s="2005"/>
      <c r="W180" s="2006"/>
      <c r="X180" s="2006"/>
      <c r="Y180" s="2006"/>
      <c r="Z180" s="2006"/>
      <c r="AA180" s="2006"/>
      <c r="AB180" s="2006"/>
      <c r="AC180" s="2006"/>
      <c r="AD180" s="2006"/>
    </row>
    <row r="181" spans="2:30">
      <c r="B181" s="1"/>
      <c r="R181" s="826"/>
      <c r="S181" s="2011"/>
      <c r="T181" s="2005"/>
      <c r="U181" s="2005"/>
      <c r="V181" s="2005"/>
      <c r="W181" s="2006"/>
      <c r="X181" s="2006"/>
      <c r="Y181" s="2006"/>
      <c r="Z181" s="2006"/>
      <c r="AA181" s="2006"/>
      <c r="AB181" s="2006"/>
      <c r="AC181" s="2006"/>
      <c r="AD181" s="2006"/>
    </row>
    <row r="182" spans="2:30" ht="14.25" customHeight="1">
      <c r="I182" s="1098"/>
      <c r="J182" s="1"/>
      <c r="K182" s="1"/>
      <c r="L182" s="1"/>
      <c r="M182" s="1"/>
      <c r="N182" s="1"/>
      <c r="O182" s="1"/>
      <c r="P182" s="1"/>
      <c r="Q182" s="1"/>
      <c r="R182" s="1"/>
      <c r="S182" s="2011"/>
      <c r="T182" s="2005"/>
      <c r="U182" s="2005"/>
      <c r="V182" s="2005"/>
      <c r="W182" s="2010"/>
      <c r="X182" s="2010"/>
      <c r="Y182" s="2010"/>
      <c r="Z182" s="2010"/>
      <c r="AA182" s="2010"/>
      <c r="AB182" s="2010"/>
      <c r="AC182" s="2010"/>
      <c r="AD182" s="2010"/>
    </row>
    <row r="183" spans="2:30">
      <c r="D183" s="826"/>
      <c r="E183" s="826"/>
      <c r="H183" s="827"/>
      <c r="J183" s="1"/>
      <c r="K183" s="1"/>
      <c r="L183" s="1"/>
      <c r="M183" s="1"/>
      <c r="N183" s="1"/>
      <c r="O183" s="1"/>
      <c r="P183" s="1"/>
      <c r="Q183" s="1"/>
      <c r="R183" s="1"/>
      <c r="S183" s="2011"/>
      <c r="T183" s="2005"/>
      <c r="U183" s="2005"/>
      <c r="V183" s="2005"/>
      <c r="W183" s="2010"/>
      <c r="X183" s="2010"/>
      <c r="Y183" s="2010"/>
      <c r="Z183" s="2010"/>
      <c r="AA183" s="2010"/>
      <c r="AB183" s="2006"/>
      <c r="AC183" s="2006"/>
      <c r="AD183" s="2006"/>
    </row>
    <row r="184" spans="2:30">
      <c r="D184" s="994"/>
      <c r="E184" s="826"/>
      <c r="H184" s="827"/>
      <c r="K184" s="1"/>
      <c r="L184" s="1"/>
      <c r="M184" s="1"/>
      <c r="N184" s="1"/>
      <c r="O184" s="1"/>
      <c r="P184" s="1"/>
      <c r="Q184" s="1"/>
      <c r="R184" s="1"/>
      <c r="S184" s="1"/>
      <c r="T184" s="1783"/>
      <c r="U184" s="2012"/>
      <c r="V184" s="2013"/>
      <c r="W184" s="1289"/>
      <c r="X184" s="1289"/>
      <c r="Y184" s="1289"/>
      <c r="Z184" s="1502"/>
      <c r="AA184" s="66"/>
      <c r="AB184" s="1289"/>
      <c r="AC184" s="66"/>
    </row>
    <row r="185" spans="2:30">
      <c r="J185" s="1"/>
      <c r="K185" s="1"/>
      <c r="L185" s="1"/>
      <c r="M185" s="1"/>
      <c r="N185" s="1"/>
      <c r="O185" s="1"/>
      <c r="P185" s="1"/>
      <c r="Q185" s="1"/>
      <c r="R185" s="1"/>
      <c r="S185" s="1"/>
      <c r="T185" s="66"/>
      <c r="U185" s="2012"/>
      <c r="V185" s="1289"/>
      <c r="W185" s="4"/>
      <c r="X185" s="4"/>
      <c r="Y185" s="4"/>
      <c r="Z185" s="4"/>
      <c r="AA185" s="4"/>
      <c r="AB185" s="4"/>
      <c r="AC185" s="4"/>
    </row>
  </sheetData>
  <sheetProtection algorithmName="SHA-512" hashValue="gd3PeT2OWNjO7zPDIfUStvueoH2Y97CjYconOMPtgSc7KKxeiuQtEGCuC73cypXdwwlKYYGpRvfKCds/LmwahA==" saltValue="UjWnGgK2mRmkTHdCsuwAtw==" spinCount="100000" sheet="1" formatCells="0" formatColumns="0" formatRows="0"/>
  <mergeCells count="268">
    <mergeCell ref="S85:Y85"/>
    <mergeCell ref="S42:AC44"/>
    <mergeCell ref="N84:P85"/>
    <mergeCell ref="P23:Q23"/>
    <mergeCell ref="D3:L3"/>
    <mergeCell ref="J42:K42"/>
    <mergeCell ref="I9:L9"/>
    <mergeCell ref="D13:E13"/>
    <mergeCell ref="E28:H29"/>
    <mergeCell ref="G56:I56"/>
    <mergeCell ref="M54:N54"/>
    <mergeCell ref="J56:L56"/>
    <mergeCell ref="AA10:AC10"/>
    <mergeCell ref="AA11:AC11"/>
    <mergeCell ref="AA12:AC12"/>
    <mergeCell ref="AA13:AC13"/>
    <mergeCell ref="AA14:AC14"/>
    <mergeCell ref="AA15:AC15"/>
    <mergeCell ref="AA16:AC16"/>
    <mergeCell ref="U11:U12"/>
    <mergeCell ref="J44:L44"/>
    <mergeCell ref="G39:I39"/>
    <mergeCell ref="D39:F39"/>
    <mergeCell ref="I28:K29"/>
    <mergeCell ref="G117:H117"/>
    <mergeCell ref="A117:E117"/>
    <mergeCell ref="A84:C85"/>
    <mergeCell ref="A69:C69"/>
    <mergeCell ref="X73:AC74"/>
    <mergeCell ref="P2:Q2"/>
    <mergeCell ref="P3:Q3"/>
    <mergeCell ref="N89:P89"/>
    <mergeCell ref="M58:N58"/>
    <mergeCell ref="M61:N61"/>
    <mergeCell ref="U58:U59"/>
    <mergeCell ref="U60:U62"/>
    <mergeCell ref="U63:U65"/>
    <mergeCell ref="U66:U67"/>
    <mergeCell ref="P11:Q12"/>
    <mergeCell ref="P4:Q4"/>
    <mergeCell ref="N6:N7"/>
    <mergeCell ref="M43:N43"/>
    <mergeCell ref="M47:N47"/>
    <mergeCell ref="M28:M29"/>
    <mergeCell ref="M45:N46"/>
    <mergeCell ref="M51:N51"/>
    <mergeCell ref="M11:M12"/>
    <mergeCell ref="S84:W84"/>
    <mergeCell ref="J86:K86"/>
    <mergeCell ref="J88:J90"/>
    <mergeCell ref="J84:L85"/>
    <mergeCell ref="J65:L65"/>
    <mergeCell ref="J72:L73"/>
    <mergeCell ref="K87:L87"/>
    <mergeCell ref="J59:L59"/>
    <mergeCell ref="J54:L54"/>
    <mergeCell ref="J83:P83"/>
    <mergeCell ref="M63:N63"/>
    <mergeCell ref="P88:Q88"/>
    <mergeCell ref="M70:N71"/>
    <mergeCell ref="M65:N65"/>
    <mergeCell ref="J64:L64"/>
    <mergeCell ref="J70:L71"/>
    <mergeCell ref="B177:E178"/>
    <mergeCell ref="B170:C171"/>
    <mergeCell ref="B168:C169"/>
    <mergeCell ref="A142:D142"/>
    <mergeCell ref="A143:D143"/>
    <mergeCell ref="A144:C145"/>
    <mergeCell ref="A148:D149"/>
    <mergeCell ref="A133:D133"/>
    <mergeCell ref="A150:C152"/>
    <mergeCell ref="A139:D139"/>
    <mergeCell ref="A155:D156"/>
    <mergeCell ref="A157:D157"/>
    <mergeCell ref="E155:G156"/>
    <mergeCell ref="P166:Q166"/>
    <mergeCell ref="P155:Q156"/>
    <mergeCell ref="P157:Q157"/>
    <mergeCell ref="P158:Q158"/>
    <mergeCell ref="P159:Q159"/>
    <mergeCell ref="P160:Q160"/>
    <mergeCell ref="P161:Q161"/>
    <mergeCell ref="P162:Q162"/>
    <mergeCell ref="L131:M131"/>
    <mergeCell ref="L133:M133"/>
    <mergeCell ref="L135:M135"/>
    <mergeCell ref="P163:Q163"/>
    <mergeCell ref="K156:M156"/>
    <mergeCell ref="L137:M137"/>
    <mergeCell ref="J148:K150"/>
    <mergeCell ref="L142:Q143"/>
    <mergeCell ref="N155:N156"/>
    <mergeCell ref="K155:M155"/>
    <mergeCell ref="H155:J156"/>
    <mergeCell ref="J138:K143"/>
    <mergeCell ref="J130:J133"/>
    <mergeCell ref="J134:J137"/>
    <mergeCell ref="G137:H137"/>
    <mergeCell ref="H161:I161"/>
    <mergeCell ref="P35:Q35"/>
    <mergeCell ref="M3:M8"/>
    <mergeCell ref="D42:F42"/>
    <mergeCell ref="D41:F41"/>
    <mergeCell ref="E33:G34"/>
    <mergeCell ref="J45:K45"/>
    <mergeCell ref="D45:F45"/>
    <mergeCell ref="N22:N23"/>
    <mergeCell ref="P42:P43"/>
    <mergeCell ref="P5:Q5"/>
    <mergeCell ref="G47:I47"/>
    <mergeCell ref="I5:L5"/>
    <mergeCell ref="I6:L6"/>
    <mergeCell ref="I7:L7"/>
    <mergeCell ref="N28:N29"/>
    <mergeCell ref="J21:K21"/>
    <mergeCell ref="I22:I23"/>
    <mergeCell ref="L11:L12"/>
    <mergeCell ref="A44:B44"/>
    <mergeCell ref="A45:B45"/>
    <mergeCell ref="A46:C49"/>
    <mergeCell ref="D47:F47"/>
    <mergeCell ref="D14:E14"/>
    <mergeCell ref="L28:L29"/>
    <mergeCell ref="A58:C60"/>
    <mergeCell ref="A61:C63"/>
    <mergeCell ref="J63:L63"/>
    <mergeCell ref="D58:F58"/>
    <mergeCell ref="J58:L58"/>
    <mergeCell ref="D15:E15"/>
    <mergeCell ref="J50:L50"/>
    <mergeCell ref="D17:F19"/>
    <mergeCell ref="J18:J19"/>
    <mergeCell ref="A57:B57"/>
    <mergeCell ref="G54:I54"/>
    <mergeCell ref="G59:I59"/>
    <mergeCell ref="G57:I57"/>
    <mergeCell ref="D49:F49"/>
    <mergeCell ref="G51:I51"/>
    <mergeCell ref="D48:F48"/>
    <mergeCell ref="A28:A37"/>
    <mergeCell ref="H33:I33"/>
    <mergeCell ref="J61:L61"/>
    <mergeCell ref="J51:L51"/>
    <mergeCell ref="J47:L47"/>
    <mergeCell ref="D38:J38"/>
    <mergeCell ref="G44:I44"/>
    <mergeCell ref="D53:F53"/>
    <mergeCell ref="G73:I74"/>
    <mergeCell ref="G63:I63"/>
    <mergeCell ref="G52:I52"/>
    <mergeCell ref="J57:L57"/>
    <mergeCell ref="G58:I58"/>
    <mergeCell ref="M84:M85"/>
    <mergeCell ref="A141:D141"/>
    <mergeCell ref="A132:D132"/>
    <mergeCell ref="A134:D134"/>
    <mergeCell ref="A137:D137"/>
    <mergeCell ref="A138:D138"/>
    <mergeCell ref="J62:L62"/>
    <mergeCell ref="M59:N59"/>
    <mergeCell ref="E106:F106"/>
    <mergeCell ref="A122:D125"/>
    <mergeCell ref="A119:D121"/>
    <mergeCell ref="A118:D118"/>
    <mergeCell ref="J126:K126"/>
    <mergeCell ref="A91:C93"/>
    <mergeCell ref="A99:B100"/>
    <mergeCell ref="I100:I101"/>
    <mergeCell ref="J94:J95"/>
    <mergeCell ref="D59:F59"/>
    <mergeCell ref="A88:C90"/>
    <mergeCell ref="A129:D130"/>
    <mergeCell ref="A128:D128"/>
    <mergeCell ref="E103:F103"/>
    <mergeCell ref="A131:D131"/>
    <mergeCell ref="A140:D140"/>
    <mergeCell ref="A107:B109"/>
    <mergeCell ref="A40:C40"/>
    <mergeCell ref="A39:C39"/>
    <mergeCell ref="C83:H83"/>
    <mergeCell ref="D65:F65"/>
    <mergeCell ref="D64:F64"/>
    <mergeCell ref="E84:E85"/>
    <mergeCell ref="D54:F54"/>
    <mergeCell ref="A54:C56"/>
    <mergeCell ref="A94:C97"/>
    <mergeCell ref="D62:F62"/>
    <mergeCell ref="D70:F71"/>
    <mergeCell ref="A42:B43"/>
    <mergeCell ref="D52:F52"/>
    <mergeCell ref="B82:P82"/>
    <mergeCell ref="D66:F66"/>
    <mergeCell ref="A50:C53"/>
    <mergeCell ref="M72:N73"/>
    <mergeCell ref="G84:H84"/>
    <mergeCell ref="J119:K119"/>
    <mergeCell ref="A1:F2"/>
    <mergeCell ref="A126:D126"/>
    <mergeCell ref="A127:D127"/>
    <mergeCell ref="G65:I65"/>
    <mergeCell ref="D51:F51"/>
    <mergeCell ref="M44:N44"/>
    <mergeCell ref="D44:F44"/>
    <mergeCell ref="M50:N50"/>
    <mergeCell ref="G64:I64"/>
    <mergeCell ref="A3:A27"/>
    <mergeCell ref="J101:J102"/>
    <mergeCell ref="E122:E124"/>
    <mergeCell ref="J96:L96"/>
    <mergeCell ref="J118:K118"/>
    <mergeCell ref="A110:C112"/>
    <mergeCell ref="G20:I21"/>
    <mergeCell ref="B4:C5"/>
    <mergeCell ref="D72:F73"/>
    <mergeCell ref="D55:F56"/>
    <mergeCell ref="D88:D89"/>
    <mergeCell ref="A86:B87"/>
    <mergeCell ref="D94:D96"/>
    <mergeCell ref="D61:F61"/>
    <mergeCell ref="D63:F63"/>
    <mergeCell ref="P1:Z1"/>
    <mergeCell ref="J144:K145"/>
    <mergeCell ref="V10:Z10"/>
    <mergeCell ref="J43:K43"/>
    <mergeCell ref="N11:N12"/>
    <mergeCell ref="P28:Q29"/>
    <mergeCell ref="P6:Q6"/>
    <mergeCell ref="P7:Q7"/>
    <mergeCell ref="Z28:AA29"/>
    <mergeCell ref="S19:T20"/>
    <mergeCell ref="U15:U16"/>
    <mergeCell ref="W28:Y29"/>
    <mergeCell ref="S24:AA24"/>
    <mergeCell ref="Q91:Q97"/>
    <mergeCell ref="M56:N56"/>
    <mergeCell ref="T15:T16"/>
    <mergeCell ref="S11:S12"/>
    <mergeCell ref="S13:S14"/>
    <mergeCell ref="J97:L97"/>
    <mergeCell ref="J100:L100"/>
    <mergeCell ref="J103:K104"/>
    <mergeCell ref="J122:K122"/>
    <mergeCell ref="J125:K125"/>
    <mergeCell ref="A103:C104"/>
    <mergeCell ref="S15:S16"/>
    <mergeCell ref="M57:N57"/>
    <mergeCell ref="M64:N64"/>
    <mergeCell ref="T11:T12"/>
    <mergeCell ref="S10:T10"/>
    <mergeCell ref="J117:L117"/>
    <mergeCell ref="J127:K127"/>
    <mergeCell ref="A98:C98"/>
    <mergeCell ref="H115:J115"/>
    <mergeCell ref="K113:M113"/>
    <mergeCell ref="N117:Q117"/>
    <mergeCell ref="K101:Q102"/>
    <mergeCell ref="G125:H125"/>
    <mergeCell ref="F84:F85"/>
    <mergeCell ref="J120:K121"/>
    <mergeCell ref="J123:K124"/>
    <mergeCell ref="D60:F60"/>
    <mergeCell ref="A70:C74"/>
    <mergeCell ref="D20:F23"/>
    <mergeCell ref="D24:F25"/>
    <mergeCell ref="G71:I72"/>
    <mergeCell ref="G61:I61"/>
    <mergeCell ref="D57:F57"/>
  </mergeCells>
  <phoneticPr fontId="3" type="noConversion"/>
  <hyperlinks>
    <hyperlink ref="Z18" location="'Parameter tables'!R44:AG67" display="click here" xr:uid="{BF5266CE-4305-4042-8345-F1B7B50AE255}"/>
    <hyperlink ref="I16" location="'Parameter tables'!R44:AG67" display="here" xr:uid="{0E016394-DF20-45D6-89C7-1D30A76ED00D}"/>
    <hyperlink ref="E162" location="'Parameter tables'!O164:AB171" display="here (in the" xr:uid="{A003CC45-EACF-45CB-92C2-8441E6CF7255}"/>
    <hyperlink ref="K30" location="'Parameter tables'!A4:N9" display="click here" xr:uid="{AFD8172B-6343-48C9-B46F-8E4B7F9E4598}"/>
    <hyperlink ref="J16" location="'INPUT and CALCULATIONS'!R17:AB22" display="or   here" xr:uid="{6E3D5268-34DD-4488-AEB2-A22953708EE0}"/>
    <hyperlink ref="K10" location="'Rock strength'!B2:F35" display="click here )" xr:uid="{4FC9A840-CD7D-42B3-A0E1-8EAE115A1929}"/>
  </hyperlinks>
  <pageMargins left="0.6692913385826772" right="0.19685039370078741" top="0.41" bottom="0.19685039370078741" header="0.2" footer="0.15748031496062992"/>
  <pageSetup paperSize="9" orientation="portrait" horizontalDpi="4294967293" verticalDpi="4294967293" r:id="rId1"/>
  <ignoredErrors>
    <ignoredError sqref="G13" twoDigitTextYear="1"/>
    <ignoredError sqref="H53:I53 J50:J51 G51:G52 G54 G56 G58:G59 H60:I60 J56 J58:J59 J61:J62 J64:J66 H66 G63:G65 G61 G71 M60 J54 I67:J67" evalError="1"/>
    <ignoredError sqref="L132 L134 L136 N135 N132" formula="1"/>
    <ignoredError sqref="U52 F7" numberStoredAsText="1"/>
    <ignoredError sqref="E158:E161 H158:H160 K158:K161 F93"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6"/>
  <dimension ref="A1:AO211"/>
  <sheetViews>
    <sheetView showGridLines="0" topLeftCell="A139" zoomScale="115" zoomScaleNormal="115" workbookViewId="0">
      <selection activeCell="U168" sqref="U168:X168"/>
    </sheetView>
  </sheetViews>
  <sheetFormatPr baseColWidth="10" defaultColWidth="8.85546875" defaultRowHeight="12.75"/>
  <cols>
    <col min="1" max="1" width="9.5703125" style="266" customWidth="1"/>
    <col min="2" max="2" width="13.5703125" style="1" customWidth="1"/>
    <col min="3" max="3" width="16.140625" style="1" customWidth="1"/>
    <col min="4" max="4" width="6.28515625" style="1" customWidth="1"/>
    <col min="5" max="5" width="2.140625" style="1" customWidth="1"/>
    <col min="6" max="6" width="6.42578125" style="1" customWidth="1"/>
    <col min="7" max="7" width="6.5703125" style="1" customWidth="1"/>
    <col min="8" max="12" width="6.7109375" style="1" customWidth="1"/>
    <col min="13" max="13" width="7" style="1" customWidth="1"/>
    <col min="14" max="14" width="3.42578125" style="1" customWidth="1"/>
    <col min="15" max="15" width="10.85546875" style="1" customWidth="1"/>
    <col min="16" max="16" width="4" style="1" customWidth="1"/>
    <col min="17" max="17" width="5.140625" style="1" customWidth="1"/>
    <col min="18" max="18" width="3.5703125" style="1" customWidth="1"/>
    <col min="19" max="19" width="6.7109375" style="1" customWidth="1"/>
    <col min="20" max="20" width="5.7109375" style="1" customWidth="1"/>
    <col min="21" max="21" width="3.28515625" style="1" customWidth="1"/>
    <col min="22" max="22" width="3.7109375" style="1" customWidth="1"/>
    <col min="23" max="23" width="5" style="1" customWidth="1"/>
    <col min="24" max="24" width="3.140625" style="1" customWidth="1"/>
    <col min="25" max="25" width="5.140625" style="1" customWidth="1"/>
    <col min="26" max="26" width="4.5703125" style="1" customWidth="1"/>
    <col min="27" max="27" width="3.140625" style="1" customWidth="1"/>
    <col min="28" max="29" width="4.28515625" style="1" customWidth="1"/>
    <col min="30" max="30" width="4.7109375" style="1" customWidth="1"/>
    <col min="31" max="31" width="3.42578125" style="1" customWidth="1"/>
    <col min="32" max="32" width="5.7109375" style="1" customWidth="1"/>
    <col min="33" max="33" width="6.42578125" style="1" customWidth="1"/>
    <col min="34" max="34" width="4.7109375" style="1" customWidth="1"/>
    <col min="35" max="16384" width="8.85546875" style="1"/>
  </cols>
  <sheetData>
    <row r="1" spans="1:19" ht="15.75" customHeight="1">
      <c r="A1" s="74" t="s">
        <v>12</v>
      </c>
      <c r="M1" s="437" t="s">
        <v>885</v>
      </c>
      <c r="S1" s="75">
        <v>2221</v>
      </c>
    </row>
    <row r="2" spans="1:19" ht="13.15" customHeight="1">
      <c r="A2" s="2372"/>
      <c r="B2" s="2372"/>
      <c r="C2" s="2372"/>
      <c r="D2" s="2372"/>
      <c r="E2" s="2372"/>
      <c r="M2" s="66"/>
    </row>
    <row r="3" spans="1:19" ht="15.75" customHeight="1" thickBot="1">
      <c r="A3" s="76"/>
      <c r="F3" s="77"/>
      <c r="G3" s="78"/>
    </row>
    <row r="4" spans="1:19" ht="15.75" customHeight="1">
      <c r="A4" s="79" t="s">
        <v>1094</v>
      </c>
      <c r="B4" s="2473" t="s">
        <v>1091</v>
      </c>
      <c r="C4" s="2473"/>
      <c r="D4" s="2473"/>
      <c r="E4" s="2473"/>
      <c r="F4" s="2474"/>
      <c r="G4" s="2099" t="s">
        <v>241</v>
      </c>
      <c r="H4" s="2431" t="s">
        <v>362</v>
      </c>
      <c r="I4" s="2464"/>
      <c r="J4" s="2425" t="s">
        <v>0</v>
      </c>
      <c r="K4" s="2427"/>
      <c r="L4" s="2425" t="s">
        <v>1</v>
      </c>
      <c r="M4" s="2426"/>
    </row>
    <row r="5" spans="1:19" ht="12" customHeight="1">
      <c r="A5" s="80" t="s">
        <v>891</v>
      </c>
      <c r="B5" s="2404" t="s">
        <v>890</v>
      </c>
      <c r="C5" s="2404"/>
      <c r="D5" s="2404"/>
      <c r="E5" s="2404"/>
      <c r="F5" s="2405"/>
      <c r="G5" s="2100"/>
      <c r="H5" s="2461" t="s">
        <v>13</v>
      </c>
      <c r="I5" s="2462"/>
      <c r="J5" s="2448" t="s">
        <v>53</v>
      </c>
      <c r="K5" s="2463"/>
      <c r="L5" s="2459" t="s">
        <v>935</v>
      </c>
      <c r="M5" s="2460"/>
      <c r="O5" s="2072" t="s">
        <v>523</v>
      </c>
      <c r="P5" s="2072"/>
      <c r="Q5" s="2072"/>
    </row>
    <row r="6" spans="1:19" ht="12" customHeight="1">
      <c r="A6" s="754"/>
      <c r="B6" s="2073" t="s">
        <v>1080</v>
      </c>
      <c r="C6" s="760" t="s">
        <v>955</v>
      </c>
      <c r="D6" s="765" t="s">
        <v>1081</v>
      </c>
      <c r="E6" s="414" t="s">
        <v>150</v>
      </c>
      <c r="F6" s="756">
        <v>1E-3</v>
      </c>
      <c r="G6" s="792"/>
      <c r="H6" s="2245" t="s">
        <v>219</v>
      </c>
      <c r="I6" s="2246"/>
      <c r="J6" s="2109"/>
      <c r="K6" s="2110"/>
      <c r="L6" s="2251" t="s">
        <v>909</v>
      </c>
      <c r="M6" s="2252"/>
      <c r="O6" s="2072"/>
      <c r="P6" s="2072"/>
      <c r="Q6" s="2072"/>
    </row>
    <row r="7" spans="1:19" ht="12" customHeight="1">
      <c r="A7" s="579" t="s">
        <v>960</v>
      </c>
      <c r="B7" s="2074"/>
      <c r="C7" s="761" t="s">
        <v>954</v>
      </c>
      <c r="D7" s="766">
        <v>0.01</v>
      </c>
      <c r="E7" s="755" t="s">
        <v>74</v>
      </c>
      <c r="F7" s="768">
        <v>0.05</v>
      </c>
      <c r="G7" s="791"/>
      <c r="H7" s="2247"/>
      <c r="I7" s="2248"/>
      <c r="J7" s="2111"/>
      <c r="K7" s="2112"/>
      <c r="L7" s="2253">
        <f>(D7+F7)/2</f>
        <v>3.0000000000000002E-2</v>
      </c>
      <c r="M7" s="2254"/>
    </row>
    <row r="8" spans="1:19" ht="12" customHeight="1">
      <c r="A8" s="676" t="s">
        <v>959</v>
      </c>
      <c r="B8" s="2074"/>
      <c r="C8" s="762" t="s">
        <v>956</v>
      </c>
      <c r="D8" s="767">
        <f>F7</f>
        <v>0.05</v>
      </c>
      <c r="E8" s="170" t="s">
        <v>74</v>
      </c>
      <c r="F8" s="769">
        <v>0.1</v>
      </c>
      <c r="G8" s="793"/>
      <c r="H8" s="2247"/>
      <c r="I8" s="2248"/>
      <c r="J8" s="2111"/>
      <c r="K8" s="2112"/>
      <c r="L8" s="2255">
        <f>(D8+F8)/2</f>
        <v>7.5000000000000011E-2</v>
      </c>
      <c r="M8" s="2256"/>
    </row>
    <row r="9" spans="1:19" ht="12" customHeight="1">
      <c r="A9" s="757" t="s">
        <v>958</v>
      </c>
      <c r="B9" s="2075"/>
      <c r="C9" s="761" t="s">
        <v>957</v>
      </c>
      <c r="D9" s="767">
        <f>F8</f>
        <v>0.1</v>
      </c>
      <c r="E9" s="526" t="s">
        <v>74</v>
      </c>
      <c r="F9" s="770">
        <v>1</v>
      </c>
      <c r="G9" s="793" t="s">
        <v>14</v>
      </c>
      <c r="H9" s="2249"/>
      <c r="I9" s="2250"/>
      <c r="J9" s="2111"/>
      <c r="K9" s="2112"/>
      <c r="L9" s="2257">
        <f>(D9+F9)/2</f>
        <v>0.55000000000000004</v>
      </c>
      <c r="M9" s="2258"/>
    </row>
    <row r="10" spans="1:19" ht="12" customHeight="1">
      <c r="A10" s="676" t="s">
        <v>418</v>
      </c>
      <c r="B10" s="2475" t="s">
        <v>16</v>
      </c>
      <c r="C10" s="763" t="s">
        <v>17</v>
      </c>
      <c r="D10" s="491">
        <f>F9</f>
        <v>1</v>
      </c>
      <c r="E10" s="85" t="s">
        <v>53</v>
      </c>
      <c r="F10" s="667">
        <v>5</v>
      </c>
      <c r="G10" s="86" t="s">
        <v>15</v>
      </c>
      <c r="H10" s="2278">
        <v>1</v>
      </c>
      <c r="I10" s="2279"/>
      <c r="J10" s="2113" t="s">
        <v>219</v>
      </c>
      <c r="K10" s="2114"/>
      <c r="L10" s="2471">
        <f>(D10+F10)/2</f>
        <v>3</v>
      </c>
      <c r="M10" s="2472"/>
      <c r="O10" s="2117" t="s">
        <v>233</v>
      </c>
      <c r="P10" s="2118"/>
      <c r="Q10" s="2119"/>
    </row>
    <row r="11" spans="1:19" ht="12" customHeight="1">
      <c r="A11" s="676" t="s">
        <v>417</v>
      </c>
      <c r="B11" s="2475"/>
      <c r="C11" s="763" t="s">
        <v>19</v>
      </c>
      <c r="D11" s="491">
        <f t="shared" ref="D11:D16" si="0">F10</f>
        <v>5</v>
      </c>
      <c r="E11" s="85" t="s">
        <v>53</v>
      </c>
      <c r="F11" s="667">
        <v>25</v>
      </c>
      <c r="G11" s="86" t="s">
        <v>18</v>
      </c>
      <c r="H11" s="2278">
        <v>2</v>
      </c>
      <c r="I11" s="2279"/>
      <c r="J11" s="2113"/>
      <c r="K11" s="2114"/>
      <c r="L11" s="2471">
        <f t="shared" ref="L11:L16" si="1">(D11+F11)/2</f>
        <v>15</v>
      </c>
      <c r="M11" s="2472"/>
      <c r="O11" s="2120"/>
      <c r="P11" s="2121"/>
      <c r="Q11" s="2122"/>
    </row>
    <row r="12" spans="1:19" ht="12" customHeight="1">
      <c r="A12" s="676" t="s">
        <v>367</v>
      </c>
      <c r="B12" s="2475"/>
      <c r="C12" s="763" t="s">
        <v>21</v>
      </c>
      <c r="D12" s="491">
        <f t="shared" si="0"/>
        <v>25</v>
      </c>
      <c r="E12" s="85" t="s">
        <v>53</v>
      </c>
      <c r="F12" s="667">
        <v>50</v>
      </c>
      <c r="G12" s="86" t="s">
        <v>20</v>
      </c>
      <c r="H12" s="2278">
        <v>4</v>
      </c>
      <c r="I12" s="2279"/>
      <c r="J12" s="2113"/>
      <c r="K12" s="2114"/>
      <c r="L12" s="2471">
        <f t="shared" si="1"/>
        <v>37.5</v>
      </c>
      <c r="M12" s="2472"/>
      <c r="O12" s="2120"/>
      <c r="P12" s="2121"/>
      <c r="Q12" s="2122"/>
    </row>
    <row r="13" spans="1:19" ht="12" customHeight="1">
      <c r="A13" s="676" t="s">
        <v>494</v>
      </c>
      <c r="B13" s="2475"/>
      <c r="C13" s="2376" t="s">
        <v>23</v>
      </c>
      <c r="D13" s="491">
        <f t="shared" si="0"/>
        <v>50</v>
      </c>
      <c r="E13" s="85" t="s">
        <v>53</v>
      </c>
      <c r="F13" s="667">
        <v>75</v>
      </c>
      <c r="G13" s="86" t="s">
        <v>22</v>
      </c>
      <c r="H13" s="2278">
        <v>7</v>
      </c>
      <c r="I13" s="2279"/>
      <c r="J13" s="2111"/>
      <c r="K13" s="2112"/>
      <c r="L13" s="2471">
        <f t="shared" si="1"/>
        <v>62.5</v>
      </c>
      <c r="M13" s="2472"/>
      <c r="O13" s="2120"/>
      <c r="P13" s="2121"/>
      <c r="Q13" s="2122"/>
    </row>
    <row r="14" spans="1:19" ht="12" customHeight="1">
      <c r="A14" s="758" t="s">
        <v>494</v>
      </c>
      <c r="B14" s="2475"/>
      <c r="C14" s="2377"/>
      <c r="D14" s="491">
        <f t="shared" si="0"/>
        <v>75</v>
      </c>
      <c r="E14" s="85" t="s">
        <v>53</v>
      </c>
      <c r="F14" s="667">
        <v>100</v>
      </c>
      <c r="G14" s="86" t="s">
        <v>24</v>
      </c>
      <c r="H14" s="2457">
        <v>7</v>
      </c>
      <c r="I14" s="2458"/>
      <c r="J14" s="2111"/>
      <c r="K14" s="2112"/>
      <c r="L14" s="2471">
        <f t="shared" si="1"/>
        <v>87.5</v>
      </c>
      <c r="M14" s="2472"/>
      <c r="O14" s="2120"/>
      <c r="P14" s="2121"/>
      <c r="Q14" s="2122"/>
    </row>
    <row r="15" spans="1:19" ht="12" customHeight="1">
      <c r="A15" s="758" t="s">
        <v>386</v>
      </c>
      <c r="B15" s="2476"/>
      <c r="C15" s="2376" t="s">
        <v>25</v>
      </c>
      <c r="D15" s="491">
        <f t="shared" si="0"/>
        <v>100</v>
      </c>
      <c r="E15" s="88"/>
      <c r="F15" s="668">
        <v>150</v>
      </c>
      <c r="G15" s="89" t="s">
        <v>26</v>
      </c>
      <c r="H15" s="2278">
        <v>12</v>
      </c>
      <c r="I15" s="2279"/>
      <c r="J15" s="2111"/>
      <c r="K15" s="2112"/>
      <c r="L15" s="2489">
        <f t="shared" si="1"/>
        <v>125</v>
      </c>
      <c r="M15" s="2490"/>
      <c r="O15" s="2120"/>
      <c r="P15" s="2121"/>
      <c r="Q15" s="2122"/>
    </row>
    <row r="16" spans="1:19" ht="12" customHeight="1">
      <c r="A16" s="758" t="s">
        <v>386</v>
      </c>
      <c r="B16" s="2476"/>
      <c r="C16" s="2377"/>
      <c r="D16" s="491">
        <f t="shared" si="0"/>
        <v>150</v>
      </c>
      <c r="E16" s="88"/>
      <c r="F16" s="668">
        <v>250</v>
      </c>
      <c r="G16" s="89" t="s">
        <v>49</v>
      </c>
      <c r="H16" s="2278">
        <v>12</v>
      </c>
      <c r="I16" s="2279"/>
      <c r="J16" s="2111"/>
      <c r="K16" s="2112"/>
      <c r="L16" s="2471">
        <f t="shared" si="1"/>
        <v>200</v>
      </c>
      <c r="M16" s="2472"/>
      <c r="O16" s="2120"/>
      <c r="P16" s="2121"/>
      <c r="Q16" s="2122"/>
    </row>
    <row r="17" spans="1:20" ht="12" customHeight="1" thickBot="1">
      <c r="A17" s="759" t="s">
        <v>416</v>
      </c>
      <c r="B17" s="2477"/>
      <c r="C17" s="764" t="s">
        <v>27</v>
      </c>
      <c r="D17" s="492" t="s">
        <v>944</v>
      </c>
      <c r="E17" s="91" t="s">
        <v>149</v>
      </c>
      <c r="F17" s="669">
        <f>F16</f>
        <v>250</v>
      </c>
      <c r="G17" s="92" t="s">
        <v>51</v>
      </c>
      <c r="H17" s="2453">
        <v>15</v>
      </c>
      <c r="I17" s="2454"/>
      <c r="J17" s="2115"/>
      <c r="K17" s="2116"/>
      <c r="L17" s="2491">
        <v>300</v>
      </c>
      <c r="M17" s="2492"/>
      <c r="O17" s="2123"/>
      <c r="P17" s="2124"/>
      <c r="Q17" s="2125"/>
    </row>
    <row r="18" spans="1:20" ht="12" customHeight="1" thickTop="1">
      <c r="A18" s="378" t="s">
        <v>375</v>
      </c>
      <c r="B18" s="93" t="s">
        <v>369</v>
      </c>
      <c r="C18" s="94"/>
      <c r="D18" s="95"/>
      <c r="E18" s="96"/>
      <c r="F18" s="97"/>
      <c r="G18" s="98"/>
      <c r="H18" s="99"/>
      <c r="I18" s="99"/>
      <c r="J18" s="96"/>
      <c r="K18" s="96"/>
      <c r="L18" s="99"/>
      <c r="M18" s="100"/>
      <c r="O18" s="65"/>
      <c r="P18" s="65"/>
      <c r="Q18" s="65"/>
    </row>
    <row r="19" spans="1:20" ht="12" customHeight="1">
      <c r="A19" s="101"/>
      <c r="B19" s="102" t="s">
        <v>371</v>
      </c>
      <c r="C19" s="2478" t="s">
        <v>384</v>
      </c>
      <c r="D19" s="2479"/>
      <c r="E19" s="2479"/>
      <c r="F19" s="2479"/>
      <c r="G19" s="2479"/>
      <c r="H19" s="2479"/>
      <c r="I19" s="2479"/>
      <c r="J19" s="2479"/>
      <c r="K19" s="2479"/>
      <c r="L19" s="2479"/>
      <c r="M19" s="2480"/>
      <c r="O19" s="2117" t="s">
        <v>678</v>
      </c>
      <c r="P19" s="2118"/>
      <c r="Q19" s="2119"/>
    </row>
    <row r="20" spans="1:20" ht="12" customHeight="1">
      <c r="A20" s="101"/>
      <c r="B20" s="2481" t="s">
        <v>377</v>
      </c>
      <c r="C20" s="2465" t="s">
        <v>383</v>
      </c>
      <c r="D20" s="2466"/>
      <c r="E20" s="2466"/>
      <c r="F20" s="2466"/>
      <c r="G20" s="2466"/>
      <c r="H20" s="2466"/>
      <c r="I20" s="2466"/>
      <c r="J20" s="2466"/>
      <c r="K20" s="2466"/>
      <c r="L20" s="2466"/>
      <c r="M20" s="2467"/>
      <c r="O20" s="2120"/>
      <c r="P20" s="2121"/>
      <c r="Q20" s="2122"/>
    </row>
    <row r="21" spans="1:20" ht="12" customHeight="1">
      <c r="A21" s="81"/>
      <c r="B21" s="2482"/>
      <c r="C21" s="2468"/>
      <c r="D21" s="2469"/>
      <c r="E21" s="2469"/>
      <c r="F21" s="2469"/>
      <c r="G21" s="2469"/>
      <c r="H21" s="2469"/>
      <c r="I21" s="2469"/>
      <c r="J21" s="2469"/>
      <c r="K21" s="2469"/>
      <c r="L21" s="2469"/>
      <c r="M21" s="2470"/>
      <c r="O21" s="2120"/>
      <c r="P21" s="2121"/>
      <c r="Q21" s="2122"/>
    </row>
    <row r="22" spans="1:20" ht="12" customHeight="1">
      <c r="A22" s="81"/>
      <c r="B22" s="2481" t="s">
        <v>378</v>
      </c>
      <c r="C22" s="2483" t="s">
        <v>382</v>
      </c>
      <c r="D22" s="2484"/>
      <c r="E22" s="2484"/>
      <c r="F22" s="2484"/>
      <c r="G22" s="2484"/>
      <c r="H22" s="2484"/>
      <c r="I22" s="2484"/>
      <c r="J22" s="2484"/>
      <c r="K22" s="2484"/>
      <c r="L22" s="2484"/>
      <c r="M22" s="2485"/>
      <c r="O22" s="2120"/>
      <c r="P22" s="2121"/>
      <c r="Q22" s="2122"/>
    </row>
    <row r="23" spans="1:20" ht="12" customHeight="1">
      <c r="A23" s="81"/>
      <c r="B23" s="2482"/>
      <c r="C23" s="2486"/>
      <c r="D23" s="2487"/>
      <c r="E23" s="2487"/>
      <c r="F23" s="2487"/>
      <c r="G23" s="2487"/>
      <c r="H23" s="2487"/>
      <c r="I23" s="2487"/>
      <c r="J23" s="2487"/>
      <c r="K23" s="2487"/>
      <c r="L23" s="2487"/>
      <c r="M23" s="2488"/>
      <c r="O23" s="2120"/>
      <c r="P23" s="2121"/>
      <c r="Q23" s="2122"/>
    </row>
    <row r="24" spans="1:20" ht="12" customHeight="1">
      <c r="A24" s="81"/>
      <c r="B24" s="2481" t="s">
        <v>379</v>
      </c>
      <c r="C24" s="2465" t="s">
        <v>372</v>
      </c>
      <c r="D24" s="2466"/>
      <c r="E24" s="2466"/>
      <c r="F24" s="2466"/>
      <c r="G24" s="2466"/>
      <c r="H24" s="2466"/>
      <c r="I24" s="2466"/>
      <c r="J24" s="2466"/>
      <c r="K24" s="2466"/>
      <c r="L24" s="2466"/>
      <c r="M24" s="2467"/>
      <c r="O24" s="2120"/>
      <c r="P24" s="2121"/>
      <c r="Q24" s="2122"/>
    </row>
    <row r="25" spans="1:20" ht="12" customHeight="1">
      <c r="A25" s="81"/>
      <c r="B25" s="2482"/>
      <c r="C25" s="2468"/>
      <c r="D25" s="2469"/>
      <c r="E25" s="2469"/>
      <c r="F25" s="2469"/>
      <c r="G25" s="2469"/>
      <c r="H25" s="2469"/>
      <c r="I25" s="2469"/>
      <c r="J25" s="2469"/>
      <c r="K25" s="2469"/>
      <c r="L25" s="2469"/>
      <c r="M25" s="2470"/>
      <c r="O25" s="2120"/>
      <c r="P25" s="2121"/>
      <c r="Q25" s="2122"/>
    </row>
    <row r="26" spans="1:20" ht="12" customHeight="1">
      <c r="A26" s="81"/>
      <c r="B26" s="2481" t="s">
        <v>380</v>
      </c>
      <c r="C26" s="2465" t="s">
        <v>381</v>
      </c>
      <c r="D26" s="2466"/>
      <c r="E26" s="2466"/>
      <c r="F26" s="2466"/>
      <c r="G26" s="2466"/>
      <c r="H26" s="2466"/>
      <c r="I26" s="2466"/>
      <c r="J26" s="2466"/>
      <c r="K26" s="2466"/>
      <c r="L26" s="2466"/>
      <c r="M26" s="2467"/>
      <c r="O26" s="2120"/>
      <c r="P26" s="2121"/>
      <c r="Q26" s="2122"/>
    </row>
    <row r="27" spans="1:20" ht="12" customHeight="1">
      <c r="A27" s="81"/>
      <c r="B27" s="2482"/>
      <c r="C27" s="2468"/>
      <c r="D27" s="2469"/>
      <c r="E27" s="2469"/>
      <c r="F27" s="2469"/>
      <c r="G27" s="2469"/>
      <c r="H27" s="2469"/>
      <c r="I27" s="2469"/>
      <c r="J27" s="2469"/>
      <c r="K27" s="2469"/>
      <c r="L27" s="2469"/>
      <c r="M27" s="2470"/>
      <c r="O27" s="2120"/>
      <c r="P27" s="2121"/>
      <c r="Q27" s="2122"/>
    </row>
    <row r="28" spans="1:20" ht="12" customHeight="1" thickBot="1">
      <c r="A28" s="90"/>
      <c r="B28" s="103" t="s">
        <v>373</v>
      </c>
      <c r="C28" s="2450" t="s">
        <v>374</v>
      </c>
      <c r="D28" s="2451"/>
      <c r="E28" s="2451"/>
      <c r="F28" s="2451"/>
      <c r="G28" s="2451"/>
      <c r="H28" s="2451"/>
      <c r="I28" s="2451"/>
      <c r="J28" s="2451"/>
      <c r="K28" s="2451"/>
      <c r="L28" s="2451"/>
      <c r="M28" s="2452"/>
      <c r="O28" s="2123"/>
      <c r="P28" s="2124"/>
      <c r="Q28" s="2125"/>
    </row>
    <row r="29" spans="1:20" ht="12" customHeight="1" thickBot="1">
      <c r="A29" s="76"/>
      <c r="B29" s="104"/>
      <c r="C29" s="104"/>
      <c r="D29" s="104"/>
      <c r="E29" s="104"/>
      <c r="F29" s="104"/>
      <c r="G29" s="104"/>
      <c r="H29" s="104"/>
      <c r="I29" s="104"/>
      <c r="J29" s="104"/>
    </row>
    <row r="30" spans="1:20" ht="14.25" customHeight="1">
      <c r="A30" s="79" t="s">
        <v>1095</v>
      </c>
      <c r="B30" s="2107" t="s">
        <v>28</v>
      </c>
      <c r="C30" s="2107"/>
      <c r="D30" s="2107"/>
      <c r="E30" s="2107"/>
      <c r="F30" s="2108"/>
      <c r="G30" s="2099" t="s">
        <v>241</v>
      </c>
      <c r="H30" s="2431" t="s">
        <v>362</v>
      </c>
      <c r="I30" s="2427"/>
      <c r="J30" s="2425" t="s">
        <v>0</v>
      </c>
      <c r="K30" s="2427"/>
      <c r="L30" s="2425" t="s">
        <v>1</v>
      </c>
      <c r="M30" s="2426"/>
    </row>
    <row r="31" spans="1:20" ht="12" customHeight="1">
      <c r="A31" s="105" t="s">
        <v>4</v>
      </c>
      <c r="B31" s="2404" t="s">
        <v>183</v>
      </c>
      <c r="C31" s="2518"/>
      <c r="D31" s="106"/>
      <c r="E31" s="106"/>
      <c r="F31" s="107"/>
      <c r="G31" s="2100"/>
      <c r="H31" s="2455" t="s">
        <v>29</v>
      </c>
      <c r="I31" s="2280"/>
      <c r="J31" s="2456" t="s">
        <v>30</v>
      </c>
      <c r="K31" s="2281"/>
      <c r="L31" s="2448" t="s">
        <v>53</v>
      </c>
      <c r="M31" s="2449"/>
    </row>
    <row r="32" spans="1:20" ht="12" customHeight="1">
      <c r="A32" s="2341"/>
      <c r="B32" s="2350" t="s">
        <v>33</v>
      </c>
      <c r="C32" s="435"/>
      <c r="D32" s="108" t="s">
        <v>103</v>
      </c>
      <c r="E32" s="109" t="s">
        <v>150</v>
      </c>
      <c r="F32" s="634">
        <v>10</v>
      </c>
      <c r="G32" s="110" t="s">
        <v>14</v>
      </c>
      <c r="H32" s="2356">
        <v>5</v>
      </c>
      <c r="I32" s="2356"/>
      <c r="J32" s="2345">
        <f>F32</f>
        <v>10</v>
      </c>
      <c r="K32" s="2346"/>
      <c r="L32" s="2359" t="s">
        <v>219</v>
      </c>
      <c r="M32" s="2529"/>
      <c r="O32" s="2117" t="s">
        <v>221</v>
      </c>
      <c r="P32" s="2118"/>
      <c r="Q32" s="2119"/>
      <c r="S32" s="111"/>
      <c r="T32" s="111"/>
    </row>
    <row r="33" spans="1:28" ht="12" customHeight="1">
      <c r="A33" s="2342"/>
      <c r="B33" s="2351"/>
      <c r="C33" s="112"/>
      <c r="D33" s="84">
        <f>F32</f>
        <v>10</v>
      </c>
      <c r="E33" s="85" t="s">
        <v>53</v>
      </c>
      <c r="F33" s="635">
        <v>25</v>
      </c>
      <c r="G33" s="113" t="s">
        <v>15</v>
      </c>
      <c r="H33" s="2349">
        <v>5</v>
      </c>
      <c r="I33" s="2349"/>
      <c r="J33" s="2347">
        <f>(D33+F33)/2</f>
        <v>17.5</v>
      </c>
      <c r="K33" s="2348"/>
      <c r="L33" s="2361"/>
      <c r="M33" s="2530"/>
      <c r="O33" s="2120"/>
      <c r="P33" s="2121"/>
      <c r="Q33" s="2122"/>
      <c r="S33" s="111"/>
      <c r="T33" s="111"/>
    </row>
    <row r="34" spans="1:28" ht="12" customHeight="1">
      <c r="A34" s="2342"/>
      <c r="B34" s="392" t="s">
        <v>32</v>
      </c>
      <c r="C34" s="436"/>
      <c r="D34" s="84">
        <f>F33</f>
        <v>25</v>
      </c>
      <c r="E34" s="85" t="s">
        <v>53</v>
      </c>
      <c r="F34" s="635">
        <v>50</v>
      </c>
      <c r="G34" s="113" t="s">
        <v>18</v>
      </c>
      <c r="H34" s="2349">
        <v>8</v>
      </c>
      <c r="I34" s="2349"/>
      <c r="J34" s="2347">
        <f>(D34+F34)/2</f>
        <v>37.5</v>
      </c>
      <c r="K34" s="2348"/>
      <c r="L34" s="2361"/>
      <c r="M34" s="2530"/>
      <c r="O34" s="2120"/>
      <c r="P34" s="2121"/>
      <c r="Q34" s="2122"/>
      <c r="S34" s="111"/>
      <c r="T34" s="111"/>
    </row>
    <row r="35" spans="1:28" ht="12" customHeight="1">
      <c r="A35" s="2342"/>
      <c r="B35" s="433" t="s">
        <v>31</v>
      </c>
      <c r="C35" s="112"/>
      <c r="D35" s="84">
        <f>F34</f>
        <v>50</v>
      </c>
      <c r="E35" s="85" t="s">
        <v>53</v>
      </c>
      <c r="F35" s="635">
        <v>75</v>
      </c>
      <c r="G35" s="113" t="s">
        <v>20</v>
      </c>
      <c r="H35" s="2349">
        <v>8</v>
      </c>
      <c r="I35" s="2349"/>
      <c r="J35" s="2347">
        <f>(D35+F35)/2</f>
        <v>62.5</v>
      </c>
      <c r="K35" s="2348"/>
      <c r="L35" s="2361"/>
      <c r="M35" s="2530"/>
      <c r="O35" s="2120"/>
      <c r="P35" s="2121"/>
      <c r="Q35" s="2122"/>
      <c r="S35" s="111"/>
      <c r="T35" s="111"/>
    </row>
    <row r="36" spans="1:28" ht="12" customHeight="1">
      <c r="A36" s="2342"/>
      <c r="B36" s="392" t="s">
        <v>892</v>
      </c>
      <c r="C36" s="436"/>
      <c r="D36" s="84">
        <f>F35</f>
        <v>75</v>
      </c>
      <c r="E36" s="85" t="s">
        <v>53</v>
      </c>
      <c r="F36" s="635">
        <v>90</v>
      </c>
      <c r="G36" s="113" t="s">
        <v>22</v>
      </c>
      <c r="H36" s="2349">
        <v>13</v>
      </c>
      <c r="I36" s="2349"/>
      <c r="J36" s="2347">
        <f>(D36+F36)/2</f>
        <v>82.5</v>
      </c>
      <c r="K36" s="2348"/>
      <c r="L36" s="2361"/>
      <c r="M36" s="2530"/>
      <c r="O36" s="2120"/>
      <c r="P36" s="2121"/>
      <c r="Q36" s="2122"/>
      <c r="S36" s="111"/>
      <c r="T36" s="111"/>
    </row>
    <row r="37" spans="1:28" ht="12" customHeight="1">
      <c r="A37" s="2343"/>
      <c r="B37" s="434" t="s">
        <v>893</v>
      </c>
      <c r="C37" s="114"/>
      <c r="D37" s="144">
        <f>F36</f>
        <v>90</v>
      </c>
      <c r="E37" s="377" t="s">
        <v>53</v>
      </c>
      <c r="F37" s="636">
        <v>100</v>
      </c>
      <c r="G37" s="376" t="s">
        <v>24</v>
      </c>
      <c r="H37" s="2344">
        <v>13</v>
      </c>
      <c r="I37" s="2295"/>
      <c r="J37" s="2370">
        <f>(D37+F37)/2</f>
        <v>95</v>
      </c>
      <c r="K37" s="2371"/>
      <c r="L37" s="2368"/>
      <c r="M37" s="2531"/>
      <c r="O37" s="2123"/>
      <c r="P37" s="2124"/>
      <c r="Q37" s="2125"/>
      <c r="S37" s="60"/>
      <c r="T37" s="60"/>
      <c r="U37" s="60"/>
      <c r="V37" s="60"/>
      <c r="W37" s="60"/>
      <c r="X37" s="328"/>
      <c r="Y37" s="60"/>
      <c r="Z37" s="329"/>
      <c r="AA37" s="330"/>
    </row>
    <row r="38" spans="1:28" ht="12" customHeight="1" thickBot="1">
      <c r="A38" s="115"/>
      <c r="B38" s="2352" t="s">
        <v>222</v>
      </c>
      <c r="C38" s="2352"/>
      <c r="D38" s="2352"/>
      <c r="E38" s="2352"/>
      <c r="F38" s="2352"/>
      <c r="G38" s="2352"/>
      <c r="H38" s="2352"/>
      <c r="I38" s="2352"/>
      <c r="J38" s="2352"/>
      <c r="K38" s="2352"/>
      <c r="L38" s="2352"/>
      <c r="M38" s="2353"/>
      <c r="O38" s="116"/>
      <c r="P38" s="116"/>
      <c r="Q38" s="116"/>
    </row>
    <row r="39" spans="1:28" ht="12" customHeight="1" thickTop="1">
      <c r="A39" s="117" t="s">
        <v>5</v>
      </c>
      <c r="B39" s="2204" t="s">
        <v>10</v>
      </c>
      <c r="C39" s="2204"/>
      <c r="D39" s="133"/>
      <c r="E39" s="133"/>
      <c r="F39" s="399"/>
      <c r="G39" s="118"/>
      <c r="H39" s="2160" t="s">
        <v>53</v>
      </c>
      <c r="I39" s="2161"/>
      <c r="J39" s="2162" t="s">
        <v>53</v>
      </c>
      <c r="K39" s="2163"/>
      <c r="L39" s="2354" t="s">
        <v>313</v>
      </c>
      <c r="M39" s="2355"/>
    </row>
    <row r="40" spans="1:28" ht="12" customHeight="1">
      <c r="A40" s="2357" t="s">
        <v>320</v>
      </c>
      <c r="B40" s="2350" t="s">
        <v>675</v>
      </c>
      <c r="C40" s="2366"/>
      <c r="D40" s="481"/>
      <c r="E40" s="481" t="s">
        <v>150</v>
      </c>
      <c r="F40" s="672">
        <v>0.3</v>
      </c>
      <c r="G40" s="109" t="s">
        <v>14</v>
      </c>
      <c r="H40" s="2150" t="s">
        <v>219</v>
      </c>
      <c r="I40" s="2151"/>
      <c r="J40" s="2359" t="s">
        <v>219</v>
      </c>
      <c r="K40" s="2360"/>
      <c r="L40" s="2444">
        <f>F40/2/10^3</f>
        <v>1.4999999999999999E-4</v>
      </c>
      <c r="M40" s="2445"/>
      <c r="O40" s="2117" t="s">
        <v>679</v>
      </c>
      <c r="P40" s="2118"/>
      <c r="Q40" s="2119"/>
    </row>
    <row r="41" spans="1:28" ht="12" customHeight="1">
      <c r="A41" s="2358"/>
      <c r="B41" s="2351"/>
      <c r="C41" s="2367"/>
      <c r="D41" s="489">
        <f t="shared" ref="D41:D45" si="2">F40</f>
        <v>0.3</v>
      </c>
      <c r="E41" s="488" t="s">
        <v>53</v>
      </c>
      <c r="F41" s="673">
        <v>1</v>
      </c>
      <c r="G41" s="119" t="s">
        <v>15</v>
      </c>
      <c r="H41" s="2152"/>
      <c r="I41" s="2153"/>
      <c r="J41" s="2361"/>
      <c r="K41" s="2362"/>
      <c r="L41" s="2373">
        <f>(D41+F41)/2/10^3</f>
        <v>6.4999999999999997E-4</v>
      </c>
      <c r="M41" s="2374"/>
      <c r="O41" s="2120"/>
      <c r="P41" s="2121"/>
      <c r="Q41" s="2122"/>
      <c r="S41" s="120"/>
    </row>
    <row r="42" spans="1:28" ht="12" customHeight="1">
      <c r="A42" s="670" t="s">
        <v>454</v>
      </c>
      <c r="B42" s="374" t="s">
        <v>676</v>
      </c>
      <c r="C42" s="121"/>
      <c r="D42" s="482">
        <f t="shared" si="2"/>
        <v>1</v>
      </c>
      <c r="E42" s="483" t="s">
        <v>53</v>
      </c>
      <c r="F42" s="674">
        <v>3</v>
      </c>
      <c r="G42" s="113" t="s">
        <v>18</v>
      </c>
      <c r="H42" s="2152"/>
      <c r="I42" s="2153"/>
      <c r="J42" s="2361"/>
      <c r="K42" s="2362"/>
      <c r="L42" s="2373">
        <f>(D42+F42)/2/10^3</f>
        <v>2E-3</v>
      </c>
      <c r="M42" s="2374"/>
      <c r="O42" s="2120"/>
      <c r="P42" s="2121"/>
      <c r="Q42" s="2122"/>
      <c r="S42" s="120"/>
    </row>
    <row r="43" spans="1:28" ht="12" customHeight="1">
      <c r="A43" s="670" t="s">
        <v>842</v>
      </c>
      <c r="B43" s="374" t="s">
        <v>841</v>
      </c>
      <c r="C43" s="121"/>
      <c r="D43" s="482">
        <f t="shared" si="2"/>
        <v>3</v>
      </c>
      <c r="E43" s="484" t="s">
        <v>53</v>
      </c>
      <c r="F43" s="674">
        <v>15</v>
      </c>
      <c r="G43" s="113" t="s">
        <v>20</v>
      </c>
      <c r="H43" s="2152"/>
      <c r="I43" s="2153"/>
      <c r="J43" s="2361"/>
      <c r="K43" s="2362"/>
      <c r="L43" s="2544">
        <f>(D43+F43)/2/10^3</f>
        <v>8.9999999999999993E-3</v>
      </c>
      <c r="M43" s="2545"/>
      <c r="O43" s="2120"/>
      <c r="P43" s="2121"/>
      <c r="Q43" s="2122"/>
      <c r="S43" s="120"/>
    </row>
    <row r="44" spans="1:28" ht="12" customHeight="1">
      <c r="A44" s="670" t="s">
        <v>843</v>
      </c>
      <c r="B44" s="374" t="s">
        <v>936</v>
      </c>
      <c r="C44" s="121"/>
      <c r="D44" s="482">
        <f t="shared" si="2"/>
        <v>15</v>
      </c>
      <c r="E44" s="484" t="s">
        <v>53</v>
      </c>
      <c r="F44" s="674">
        <v>70</v>
      </c>
      <c r="G44" s="113" t="s">
        <v>22</v>
      </c>
      <c r="H44" s="2152"/>
      <c r="I44" s="2153"/>
      <c r="J44" s="2361"/>
      <c r="K44" s="2362"/>
      <c r="L44" s="2546">
        <f>(D44+F44)/2/10^3</f>
        <v>4.2500000000000003E-2</v>
      </c>
      <c r="M44" s="2547"/>
      <c r="O44" s="2120"/>
      <c r="P44" s="2121"/>
      <c r="Q44" s="2122"/>
      <c r="S44" s="327"/>
      <c r="T44" s="327"/>
      <c r="U44" s="327"/>
      <c r="V44" s="327"/>
      <c r="W44" s="327"/>
      <c r="X44" s="327"/>
      <c r="Y44" s="327"/>
      <c r="Z44" s="327"/>
      <c r="AA44" s="327"/>
    </row>
    <row r="45" spans="1:28" ht="12" customHeight="1">
      <c r="A45" s="670" t="s">
        <v>627</v>
      </c>
      <c r="B45" s="397" t="s">
        <v>663</v>
      </c>
      <c r="C45" s="400"/>
      <c r="D45" s="485">
        <f t="shared" si="2"/>
        <v>70</v>
      </c>
      <c r="E45" s="486" t="s">
        <v>53</v>
      </c>
      <c r="F45" s="675">
        <v>500</v>
      </c>
      <c r="G45" s="401" t="s">
        <v>24</v>
      </c>
      <c r="H45" s="2152"/>
      <c r="I45" s="2153"/>
      <c r="J45" s="2361"/>
      <c r="K45" s="2362"/>
      <c r="L45" s="2446">
        <f>(D45+F45)/2/10^3</f>
        <v>0.28499999999999998</v>
      </c>
      <c r="M45" s="2447"/>
      <c r="O45" s="2123"/>
      <c r="P45" s="2124"/>
      <c r="Q45" s="2125"/>
      <c r="S45" s="331"/>
      <c r="T45" s="331"/>
      <c r="U45" s="331"/>
      <c r="V45" s="331"/>
      <c r="W45" s="331"/>
      <c r="X45" s="331"/>
      <c r="Y45" s="331"/>
      <c r="Z45" s="331"/>
      <c r="AA45" s="331"/>
      <c r="AB45" s="66"/>
    </row>
    <row r="46" spans="1:28" ht="12" customHeight="1">
      <c r="A46" s="671" t="s">
        <v>453</v>
      </c>
      <c r="B46" s="122" t="s">
        <v>664</v>
      </c>
      <c r="C46" s="438"/>
      <c r="D46" s="487"/>
      <c r="E46" s="810" t="s">
        <v>149</v>
      </c>
      <c r="F46" s="811">
        <f>F45</f>
        <v>500</v>
      </c>
      <c r="G46" s="376" t="s">
        <v>26</v>
      </c>
      <c r="H46" s="2519"/>
      <c r="I46" s="2520"/>
      <c r="J46" s="2553"/>
      <c r="K46" s="2554"/>
      <c r="L46" s="2551">
        <f>(F46*4)/1000</f>
        <v>2</v>
      </c>
      <c r="M46" s="2552"/>
      <c r="O46" s="65"/>
      <c r="P46" s="65"/>
      <c r="Q46" s="65"/>
      <c r="S46" s="331"/>
      <c r="T46" s="331"/>
      <c r="U46" s="331"/>
      <c r="V46" s="331"/>
      <c r="W46" s="331"/>
      <c r="X46" s="331"/>
      <c r="Y46" s="331"/>
      <c r="Z46" s="331"/>
      <c r="AA46" s="331"/>
      <c r="AB46" s="66"/>
    </row>
    <row r="47" spans="1:28" ht="12.75" customHeight="1" thickBot="1">
      <c r="A47" s="124"/>
      <c r="B47" s="2352" t="s">
        <v>236</v>
      </c>
      <c r="C47" s="2352"/>
      <c r="D47" s="2352"/>
      <c r="E47" s="2352"/>
      <c r="F47" s="2352"/>
      <c r="G47" s="2352"/>
      <c r="H47" s="2352"/>
      <c r="I47" s="2352"/>
      <c r="J47" s="2352"/>
      <c r="K47" s="2352"/>
      <c r="L47" s="2352"/>
      <c r="M47" s="2353"/>
      <c r="S47" s="332"/>
      <c r="T47" s="332"/>
      <c r="U47" s="332"/>
      <c r="V47" s="332"/>
      <c r="W47" s="332"/>
      <c r="X47" s="332"/>
      <c r="Y47" s="332"/>
      <c r="Z47" s="332"/>
      <c r="AA47" s="332"/>
      <c r="AB47" s="66"/>
    </row>
    <row r="48" spans="1:28" ht="12.75" customHeight="1" thickTop="1">
      <c r="A48" s="125" t="s">
        <v>6</v>
      </c>
      <c r="B48" s="126" t="s">
        <v>867</v>
      </c>
      <c r="C48" s="127"/>
      <c r="D48" s="2162" t="s">
        <v>541</v>
      </c>
      <c r="E48" s="2504"/>
      <c r="F48" s="2505"/>
      <c r="G48" s="128"/>
      <c r="H48" s="2550" t="s">
        <v>53</v>
      </c>
      <c r="I48" s="2165"/>
      <c r="J48" s="2164" t="s">
        <v>53</v>
      </c>
      <c r="K48" s="2165"/>
      <c r="L48" s="2164" t="s">
        <v>53</v>
      </c>
      <c r="M48" s="2549"/>
      <c r="S48" s="326"/>
      <c r="T48" s="326"/>
      <c r="U48" s="326"/>
      <c r="V48" s="331"/>
      <c r="W48" s="331"/>
      <c r="X48" s="331"/>
      <c r="Y48" s="331"/>
      <c r="Z48" s="331"/>
      <c r="AA48" s="331"/>
    </row>
    <row r="49" spans="1:27" ht="12.75" customHeight="1">
      <c r="A49" s="2363"/>
      <c r="B49" s="431" t="s">
        <v>315</v>
      </c>
      <c r="C49" s="631">
        <v>50</v>
      </c>
      <c r="D49" s="108"/>
      <c r="E49" s="109" t="s">
        <v>149</v>
      </c>
      <c r="F49" s="634">
        <v>40</v>
      </c>
      <c r="G49" s="110" t="s">
        <v>14</v>
      </c>
      <c r="H49" s="2499" t="s">
        <v>219</v>
      </c>
      <c r="I49" s="2151"/>
      <c r="J49" s="2359" t="s">
        <v>219</v>
      </c>
      <c r="K49" s="2360"/>
      <c r="L49" s="2511" t="s">
        <v>219</v>
      </c>
      <c r="M49" s="2512"/>
      <c r="O49" s="2117" t="s">
        <v>279</v>
      </c>
      <c r="P49" s="2118"/>
      <c r="Q49" s="2119"/>
      <c r="S49" s="58"/>
      <c r="T49" s="58"/>
      <c r="U49" s="58"/>
      <c r="V49" s="326"/>
      <c r="W49" s="326"/>
      <c r="X49" s="326"/>
      <c r="Y49" s="327"/>
      <c r="Z49" s="327"/>
      <c r="AA49" s="327"/>
    </row>
    <row r="50" spans="1:27" ht="12.75" customHeight="1">
      <c r="A50" s="2364"/>
      <c r="B50" s="2515" t="s">
        <v>147</v>
      </c>
      <c r="C50" s="632">
        <f>(D50+F50)/2</f>
        <v>37.5</v>
      </c>
      <c r="D50" s="84">
        <f>F49</f>
        <v>40</v>
      </c>
      <c r="E50" s="85" t="s">
        <v>53</v>
      </c>
      <c r="F50" s="635">
        <v>35</v>
      </c>
      <c r="G50" s="113" t="s">
        <v>15</v>
      </c>
      <c r="H50" s="2500"/>
      <c r="I50" s="2153"/>
      <c r="J50" s="2361"/>
      <c r="K50" s="2362"/>
      <c r="L50" s="2513"/>
      <c r="M50" s="2514"/>
      <c r="O50" s="2120"/>
      <c r="P50" s="2121"/>
      <c r="Q50" s="2122"/>
    </row>
    <row r="51" spans="1:27" ht="12.75" customHeight="1">
      <c r="A51" s="2364"/>
      <c r="B51" s="2516"/>
      <c r="C51" s="632">
        <f>(D51+F51)/2</f>
        <v>30</v>
      </c>
      <c r="D51" s="84">
        <f>F50</f>
        <v>35</v>
      </c>
      <c r="E51" s="85" t="s">
        <v>53</v>
      </c>
      <c r="F51" s="635">
        <v>25</v>
      </c>
      <c r="G51" s="113" t="s">
        <v>18</v>
      </c>
      <c r="H51" s="2500"/>
      <c r="I51" s="2153"/>
      <c r="J51" s="2361"/>
      <c r="K51" s="2362"/>
      <c r="L51" s="2513"/>
      <c r="M51" s="2514"/>
      <c r="O51" s="2120"/>
      <c r="P51" s="2121"/>
      <c r="Q51" s="2122"/>
    </row>
    <row r="52" spans="1:27" ht="12.75" customHeight="1">
      <c r="A52" s="2364"/>
      <c r="B52" s="2515" t="s">
        <v>314</v>
      </c>
      <c r="C52" s="632">
        <f>(D52+F52)/2</f>
        <v>20</v>
      </c>
      <c r="D52" s="84">
        <f>F51</f>
        <v>25</v>
      </c>
      <c r="E52" s="85" t="s">
        <v>53</v>
      </c>
      <c r="F52" s="635">
        <v>15</v>
      </c>
      <c r="G52" s="113" t="s">
        <v>20</v>
      </c>
      <c r="H52" s="2500"/>
      <c r="I52" s="2153"/>
      <c r="J52" s="2361"/>
      <c r="K52" s="2362"/>
      <c r="L52" s="2513"/>
      <c r="M52" s="2514"/>
      <c r="O52" s="2120"/>
      <c r="P52" s="2121"/>
      <c r="Q52" s="2122"/>
    </row>
    <row r="53" spans="1:27" ht="12.75" customHeight="1">
      <c r="A53" s="2364"/>
      <c r="B53" s="2516"/>
      <c r="C53" s="632">
        <f>(D53+F53)/2</f>
        <v>10</v>
      </c>
      <c r="D53" s="84">
        <f>F52</f>
        <v>15</v>
      </c>
      <c r="E53" s="85" t="s">
        <v>53</v>
      </c>
      <c r="F53" s="635">
        <v>5</v>
      </c>
      <c r="G53" s="113" t="s">
        <v>22</v>
      </c>
      <c r="H53" s="2500"/>
      <c r="I53" s="2153"/>
      <c r="J53" s="2361"/>
      <c r="K53" s="2362"/>
      <c r="L53" s="2513"/>
      <c r="M53" s="2514"/>
      <c r="O53" s="2120"/>
      <c r="P53" s="2121"/>
      <c r="Q53" s="2122"/>
    </row>
    <row r="54" spans="1:27" ht="12.75" customHeight="1">
      <c r="A54" s="2365"/>
      <c r="B54" s="432" t="s">
        <v>148</v>
      </c>
      <c r="C54" s="633">
        <f>(D54+F54)/2</f>
        <v>3</v>
      </c>
      <c r="D54" s="144">
        <f>F53</f>
        <v>5</v>
      </c>
      <c r="E54" s="377" t="s">
        <v>53</v>
      </c>
      <c r="F54" s="636">
        <v>1</v>
      </c>
      <c r="G54" s="376" t="s">
        <v>24</v>
      </c>
      <c r="H54" s="2501"/>
      <c r="I54" s="2155"/>
      <c r="J54" s="2368"/>
      <c r="K54" s="2369"/>
      <c r="L54" s="2513"/>
      <c r="M54" s="2514"/>
      <c r="O54" s="2123"/>
      <c r="P54" s="2124"/>
      <c r="Q54" s="2125"/>
      <c r="Z54" s="2643"/>
      <c r="AA54" s="2643"/>
    </row>
    <row r="55" spans="1:27" ht="12.75" customHeight="1" thickBot="1">
      <c r="A55" s="129"/>
      <c r="B55" s="130" t="s">
        <v>316</v>
      </c>
      <c r="C55" s="131"/>
      <c r="D55" s="131"/>
      <c r="E55" s="131"/>
      <c r="F55" s="131"/>
      <c r="G55" s="132"/>
      <c r="H55" s="2517"/>
      <c r="I55" s="2517"/>
      <c r="J55" s="2509"/>
      <c r="K55" s="2510"/>
      <c r="L55" s="2502"/>
      <c r="M55" s="2503"/>
      <c r="O55" s="65"/>
      <c r="P55" s="65"/>
      <c r="Q55" s="65"/>
    </row>
    <row r="56" spans="1:27" ht="12" customHeight="1" thickTop="1">
      <c r="A56" s="117" t="s">
        <v>240</v>
      </c>
      <c r="B56" s="2204"/>
      <c r="C56" s="2523"/>
      <c r="D56" s="2162" t="s">
        <v>541</v>
      </c>
      <c r="E56" s="2504"/>
      <c r="F56" s="2505"/>
      <c r="G56" s="134"/>
      <c r="H56" s="2526" t="s">
        <v>34</v>
      </c>
      <c r="I56" s="2163"/>
      <c r="J56" s="2162" t="s">
        <v>53</v>
      </c>
      <c r="K56" s="2163"/>
      <c r="L56" s="2162" t="s">
        <v>53</v>
      </c>
      <c r="M56" s="2508"/>
      <c r="N56" s="135"/>
      <c r="O56" s="61"/>
      <c r="P56" s="65"/>
      <c r="Q56" s="65"/>
    </row>
    <row r="57" spans="1:27" ht="12" customHeight="1">
      <c r="A57" s="81"/>
      <c r="B57" s="136" t="s">
        <v>35</v>
      </c>
      <c r="C57" s="324"/>
      <c r="D57" s="137" t="s">
        <v>580</v>
      </c>
      <c r="E57" s="138" t="s">
        <v>149</v>
      </c>
      <c r="F57" s="637">
        <f>F58</f>
        <v>2</v>
      </c>
      <c r="G57" s="139"/>
      <c r="H57" s="2494">
        <v>20</v>
      </c>
      <c r="I57" s="2346"/>
      <c r="J57" s="2359" t="s">
        <v>219</v>
      </c>
      <c r="K57" s="2360"/>
      <c r="L57" s="2359" t="s">
        <v>219</v>
      </c>
      <c r="M57" s="2529"/>
      <c r="N57" s="135"/>
      <c r="O57" s="2117" t="s">
        <v>280</v>
      </c>
      <c r="P57" s="2118"/>
      <c r="Q57" s="2119"/>
    </row>
    <row r="58" spans="1:27" ht="12" customHeight="1">
      <c r="A58" s="81"/>
      <c r="B58" s="392" t="s">
        <v>36</v>
      </c>
      <c r="C58" s="393"/>
      <c r="D58" s="490">
        <f>F59</f>
        <v>0.6</v>
      </c>
      <c r="E58" s="141" t="s">
        <v>53</v>
      </c>
      <c r="F58" s="638">
        <v>2</v>
      </c>
      <c r="G58" s="142"/>
      <c r="H58" s="2278">
        <v>15</v>
      </c>
      <c r="I58" s="2279"/>
      <c r="J58" s="2361"/>
      <c r="K58" s="2362"/>
      <c r="L58" s="2361"/>
      <c r="M58" s="2530"/>
      <c r="N58" s="135"/>
      <c r="O58" s="2120"/>
      <c r="P58" s="2121"/>
      <c r="Q58" s="2122"/>
    </row>
    <row r="59" spans="1:27" ht="12" customHeight="1">
      <c r="A59" s="81"/>
      <c r="B59" s="392" t="s">
        <v>37</v>
      </c>
      <c r="C59" s="393"/>
      <c r="D59" s="490">
        <f>F60</f>
        <v>0.2</v>
      </c>
      <c r="E59" s="141" t="s">
        <v>53</v>
      </c>
      <c r="F59" s="638">
        <v>0.6</v>
      </c>
      <c r="G59" s="142"/>
      <c r="H59" s="2278">
        <v>10</v>
      </c>
      <c r="I59" s="2279"/>
      <c r="J59" s="2361"/>
      <c r="K59" s="2362"/>
      <c r="L59" s="2361"/>
      <c r="M59" s="2530"/>
      <c r="N59" s="135"/>
      <c r="O59" s="2120"/>
      <c r="P59" s="2121"/>
      <c r="Q59" s="2122"/>
    </row>
    <row r="60" spans="1:27" ht="12" customHeight="1">
      <c r="A60" s="87"/>
      <c r="B60" s="392" t="s">
        <v>38</v>
      </c>
      <c r="C60" s="393"/>
      <c r="D60" s="490">
        <f>F61</f>
        <v>0.06</v>
      </c>
      <c r="E60" s="141" t="s">
        <v>53</v>
      </c>
      <c r="F60" s="638">
        <v>0.2</v>
      </c>
      <c r="G60" s="142"/>
      <c r="H60" s="2278">
        <v>8</v>
      </c>
      <c r="I60" s="2279"/>
      <c r="J60" s="2361"/>
      <c r="K60" s="2362"/>
      <c r="L60" s="2361"/>
      <c r="M60" s="2530"/>
      <c r="N60" s="135"/>
      <c r="O60" s="2120"/>
      <c r="P60" s="2121"/>
      <c r="Q60" s="2122"/>
    </row>
    <row r="61" spans="1:27" ht="12" customHeight="1">
      <c r="A61" s="143"/>
      <c r="B61" s="122" t="s">
        <v>39</v>
      </c>
      <c r="C61" s="375"/>
      <c r="D61" s="144"/>
      <c r="E61" s="145" t="s">
        <v>150</v>
      </c>
      <c r="F61" s="639">
        <v>0.06</v>
      </c>
      <c r="G61" s="146"/>
      <c r="H61" s="2506">
        <v>5</v>
      </c>
      <c r="I61" s="2507"/>
      <c r="J61" s="2368"/>
      <c r="K61" s="2369"/>
      <c r="L61" s="2368"/>
      <c r="M61" s="2531"/>
      <c r="N61" s="135"/>
      <c r="O61" s="2123"/>
      <c r="P61" s="2124"/>
      <c r="Q61" s="2125"/>
    </row>
    <row r="62" spans="1:27" ht="15" customHeight="1" thickBot="1">
      <c r="A62" s="147"/>
      <c r="B62" s="2495" t="s">
        <v>205</v>
      </c>
      <c r="C62" s="2495"/>
      <c r="D62" s="2495"/>
      <c r="E62" s="2495"/>
      <c r="F62" s="2495"/>
      <c r="G62" s="2495"/>
      <c r="H62" s="2495"/>
      <c r="I62" s="2495"/>
      <c r="J62" s="2495"/>
      <c r="K62" s="2495"/>
      <c r="L62" s="2495"/>
      <c r="M62" s="2496"/>
      <c r="N62" s="135"/>
      <c r="O62" s="148"/>
      <c r="P62" s="148"/>
    </row>
    <row r="63" spans="1:27" ht="15" customHeight="1" thickBot="1">
      <c r="A63" s="149"/>
      <c r="B63" s="150"/>
      <c r="C63" s="150"/>
      <c r="D63" s="150"/>
      <c r="E63" s="150"/>
      <c r="F63" s="150"/>
      <c r="G63" s="150"/>
      <c r="H63" s="150"/>
      <c r="I63" s="150"/>
      <c r="J63" s="150"/>
      <c r="K63" s="150"/>
      <c r="L63" s="150"/>
      <c r="M63" s="150"/>
      <c r="O63" s="148"/>
      <c r="P63" s="148"/>
    </row>
    <row r="64" spans="1:27" ht="12" customHeight="1">
      <c r="A64" s="79" t="s">
        <v>1096</v>
      </c>
      <c r="B64" s="344" t="s">
        <v>166</v>
      </c>
      <c r="C64" s="344"/>
      <c r="D64" s="344"/>
      <c r="E64" s="344"/>
      <c r="F64" s="345"/>
      <c r="G64" s="342" t="s">
        <v>241</v>
      </c>
      <c r="H64" s="2431" t="s">
        <v>362</v>
      </c>
      <c r="I64" s="2427"/>
      <c r="J64" s="2425" t="s">
        <v>0</v>
      </c>
      <c r="K64" s="2427"/>
      <c r="L64" s="2425" t="s">
        <v>1</v>
      </c>
      <c r="M64" s="2426"/>
      <c r="O64" s="2128" t="s">
        <v>749</v>
      </c>
      <c r="P64" s="2129"/>
      <c r="Q64" s="2130"/>
    </row>
    <row r="65" spans="1:32" ht="12" customHeight="1">
      <c r="A65" s="80" t="s">
        <v>2</v>
      </c>
      <c r="B65" s="391" t="s">
        <v>748</v>
      </c>
      <c r="C65" s="151"/>
      <c r="D65" s="151"/>
      <c r="E65" s="151"/>
      <c r="F65" s="152" t="s">
        <v>226</v>
      </c>
      <c r="G65" s="343"/>
      <c r="H65" s="2497" t="s">
        <v>74</v>
      </c>
      <c r="I65" s="2498"/>
      <c r="J65" s="2651" t="s">
        <v>53</v>
      </c>
      <c r="K65" s="2498"/>
      <c r="L65" s="394" t="s">
        <v>819</v>
      </c>
      <c r="M65" s="341" t="s">
        <v>225</v>
      </c>
      <c r="O65" s="2131"/>
      <c r="P65" s="2132"/>
      <c r="Q65" s="2133"/>
    </row>
    <row r="66" spans="1:32" ht="12" customHeight="1">
      <c r="A66" s="640" t="s">
        <v>704</v>
      </c>
      <c r="B66" s="2493" t="s">
        <v>1187</v>
      </c>
      <c r="C66" s="2170"/>
      <c r="D66" s="346" t="s">
        <v>801</v>
      </c>
      <c r="E66" s="346"/>
      <c r="F66" s="347"/>
      <c r="G66" s="83" t="s">
        <v>14</v>
      </c>
      <c r="H66" s="2150" t="s">
        <v>219</v>
      </c>
      <c r="I66" s="2151"/>
      <c r="J66" s="2511" t="s">
        <v>219</v>
      </c>
      <c r="K66" s="2151"/>
      <c r="L66" s="153" t="s">
        <v>1182</v>
      </c>
      <c r="M66" s="644">
        <v>30</v>
      </c>
      <c r="O66" s="2131"/>
      <c r="P66" s="2132"/>
      <c r="Q66" s="2133"/>
    </row>
    <row r="67" spans="1:32" ht="12" customHeight="1">
      <c r="A67" s="641" t="s">
        <v>705</v>
      </c>
      <c r="B67" s="2183" t="s">
        <v>806</v>
      </c>
      <c r="C67" s="2181"/>
      <c r="D67" s="348" t="s">
        <v>802</v>
      </c>
      <c r="E67" s="348"/>
      <c r="F67" s="349"/>
      <c r="G67" s="86" t="s">
        <v>15</v>
      </c>
      <c r="H67" s="2152"/>
      <c r="I67" s="2153"/>
      <c r="J67" s="2513"/>
      <c r="K67" s="2153"/>
      <c r="L67" s="154" t="s">
        <v>1183</v>
      </c>
      <c r="M67" s="645">
        <v>37</v>
      </c>
      <c r="O67" s="2131"/>
      <c r="P67" s="2132"/>
      <c r="Q67" s="2133"/>
      <c r="T67" s="396" t="s">
        <v>837</v>
      </c>
    </row>
    <row r="68" spans="1:32" ht="12" customHeight="1">
      <c r="A68" s="641" t="s">
        <v>706</v>
      </c>
      <c r="B68" s="2183" t="s">
        <v>807</v>
      </c>
      <c r="C68" s="2181"/>
      <c r="D68" s="348" t="s">
        <v>803</v>
      </c>
      <c r="E68" s="348"/>
      <c r="F68" s="349"/>
      <c r="G68" s="86" t="s">
        <v>18</v>
      </c>
      <c r="H68" s="2152"/>
      <c r="I68" s="2153"/>
      <c r="J68" s="2513"/>
      <c r="K68" s="2153"/>
      <c r="L68" s="154" t="s">
        <v>1184</v>
      </c>
      <c r="M68" s="646">
        <v>52</v>
      </c>
      <c r="O68" s="2134"/>
      <c r="P68" s="2135"/>
      <c r="Q68" s="2136"/>
    </row>
    <row r="69" spans="1:32" ht="12" customHeight="1">
      <c r="A69" s="642" t="s">
        <v>707</v>
      </c>
      <c r="B69" s="2183" t="s">
        <v>808</v>
      </c>
      <c r="C69" s="2181"/>
      <c r="D69" s="348" t="s">
        <v>804</v>
      </c>
      <c r="E69" s="348"/>
      <c r="F69" s="349"/>
      <c r="G69" s="86" t="s">
        <v>20</v>
      </c>
      <c r="H69" s="2152"/>
      <c r="I69" s="2153"/>
      <c r="J69" s="2513"/>
      <c r="K69" s="2153"/>
      <c r="L69" s="154" t="s">
        <v>1185</v>
      </c>
      <c r="M69" s="646">
        <v>100</v>
      </c>
      <c r="O69" s="148"/>
      <c r="P69" s="148"/>
    </row>
    <row r="70" spans="1:32" ht="12" customHeight="1" thickBot="1">
      <c r="A70" s="643" t="s">
        <v>865</v>
      </c>
      <c r="B70" s="2521" t="s">
        <v>809</v>
      </c>
      <c r="C70" s="2522"/>
      <c r="D70" s="350" t="s">
        <v>805</v>
      </c>
      <c r="E70" s="350"/>
      <c r="F70" s="351"/>
      <c r="G70" s="92" t="s">
        <v>22</v>
      </c>
      <c r="H70" s="2527"/>
      <c r="I70" s="2528"/>
      <c r="J70" s="2650"/>
      <c r="K70" s="2528"/>
      <c r="L70" s="155" t="s">
        <v>1186</v>
      </c>
      <c r="M70" s="647">
        <v>300</v>
      </c>
      <c r="O70" s="2548" t="s">
        <v>878</v>
      </c>
      <c r="P70" s="2548"/>
      <c r="Q70" s="2548"/>
      <c r="R70" s="2548"/>
      <c r="S70" s="2548"/>
      <c r="T70" s="2548"/>
      <c r="U70" s="2548"/>
      <c r="V70" s="2548"/>
      <c r="W70" s="2548"/>
      <c r="X70" s="2548"/>
      <c r="Y70" s="2548"/>
    </row>
    <row r="71" spans="1:32" ht="12" customHeight="1" thickTop="1">
      <c r="A71" s="117" t="s">
        <v>3</v>
      </c>
      <c r="B71" s="2385" t="s">
        <v>223</v>
      </c>
      <c r="C71" s="2385"/>
      <c r="D71" s="156"/>
      <c r="E71" s="156"/>
      <c r="F71" s="157"/>
      <c r="G71" s="158"/>
      <c r="H71" s="2160" t="s">
        <v>53</v>
      </c>
      <c r="I71" s="2161"/>
      <c r="J71" s="2240" t="s">
        <v>40</v>
      </c>
      <c r="K71" s="2161"/>
      <c r="L71" s="2555" t="s">
        <v>41</v>
      </c>
      <c r="M71" s="2556"/>
      <c r="N71" s="159"/>
      <c r="O71" s="2532" t="s">
        <v>234</v>
      </c>
      <c r="P71" s="2533"/>
      <c r="Q71" s="2534"/>
      <c r="R71" s="2557" t="s">
        <v>281</v>
      </c>
      <c r="S71" s="2558"/>
      <c r="T71" s="2558"/>
      <c r="U71" s="2558"/>
      <c r="V71" s="2559"/>
    </row>
    <row r="72" spans="1:32" ht="12" customHeight="1">
      <c r="A72" s="606" t="s">
        <v>643</v>
      </c>
      <c r="B72" s="2524" t="s">
        <v>42</v>
      </c>
      <c r="C72" s="2525"/>
      <c r="D72" s="425"/>
      <c r="E72" s="425"/>
      <c r="F72" s="160"/>
      <c r="G72" s="161" t="s">
        <v>14</v>
      </c>
      <c r="H72" s="2150" t="s">
        <v>219</v>
      </c>
      <c r="I72" s="2151"/>
      <c r="J72" s="2315">
        <v>0.75</v>
      </c>
      <c r="K72" s="2316"/>
      <c r="L72" s="2315">
        <v>6</v>
      </c>
      <c r="M72" s="2394"/>
      <c r="N72" s="72"/>
      <c r="O72" s="664">
        <v>15</v>
      </c>
      <c r="P72" s="162" t="s">
        <v>275</v>
      </c>
      <c r="Q72" s="163"/>
      <c r="R72" s="164" t="str">
        <f>B72</f>
        <v>No or few joints</v>
      </c>
      <c r="S72" s="164"/>
      <c r="T72" s="164"/>
      <c r="U72" s="165"/>
      <c r="V72" s="166"/>
      <c r="W72" s="70"/>
    </row>
    <row r="73" spans="1:32" ht="12" customHeight="1">
      <c r="A73" s="575" t="s">
        <v>43</v>
      </c>
      <c r="B73" s="2183" t="s">
        <v>43</v>
      </c>
      <c r="C73" s="2181"/>
      <c r="D73" s="167"/>
      <c r="E73" s="167"/>
      <c r="F73" s="168"/>
      <c r="G73" s="169" t="s">
        <v>15</v>
      </c>
      <c r="H73" s="2152"/>
      <c r="I73" s="2153"/>
      <c r="J73" s="2269">
        <v>2</v>
      </c>
      <c r="K73" s="2270"/>
      <c r="L73" s="2269">
        <v>3</v>
      </c>
      <c r="M73" s="2146"/>
      <c r="O73" s="665">
        <v>5</v>
      </c>
      <c r="P73" s="170" t="s">
        <v>53</v>
      </c>
      <c r="Q73" s="171">
        <f t="shared" ref="Q73:Q79" si="3">O72</f>
        <v>15</v>
      </c>
      <c r="R73" s="69" t="str">
        <f t="shared" ref="R73:R79" si="4">B73</f>
        <v>1  joint set</v>
      </c>
      <c r="S73" s="69"/>
      <c r="T73" s="69"/>
      <c r="U73" s="172"/>
      <c r="V73" s="173"/>
      <c r="W73" s="70"/>
    </row>
    <row r="74" spans="1:32" ht="12" customHeight="1">
      <c r="A74" s="575" t="s">
        <v>644</v>
      </c>
      <c r="B74" s="2183" t="s">
        <v>44</v>
      </c>
      <c r="C74" s="2181"/>
      <c r="D74" s="167"/>
      <c r="E74" s="167"/>
      <c r="F74" s="168"/>
      <c r="G74" s="169" t="s">
        <v>18</v>
      </c>
      <c r="H74" s="2152"/>
      <c r="I74" s="2153"/>
      <c r="J74" s="2269">
        <v>3</v>
      </c>
      <c r="K74" s="2270"/>
      <c r="L74" s="2269">
        <v>2</v>
      </c>
      <c r="M74" s="2146"/>
      <c r="O74" s="665">
        <v>1</v>
      </c>
      <c r="P74" s="170" t="s">
        <v>53</v>
      </c>
      <c r="Q74" s="171">
        <f t="shared" si="3"/>
        <v>5</v>
      </c>
      <c r="R74" s="69" t="str">
        <f t="shared" si="4"/>
        <v>1  joint set + random joints</v>
      </c>
      <c r="S74" s="69"/>
      <c r="T74" s="69"/>
      <c r="U74" s="172"/>
      <c r="V74" s="173"/>
    </row>
    <row r="75" spans="1:32" ht="12" customHeight="1">
      <c r="A75" s="575" t="s">
        <v>337</v>
      </c>
      <c r="B75" s="2183" t="s">
        <v>45</v>
      </c>
      <c r="C75" s="2181"/>
      <c r="D75" s="167"/>
      <c r="E75" s="167"/>
      <c r="F75" s="168"/>
      <c r="G75" s="169" t="s">
        <v>20</v>
      </c>
      <c r="H75" s="2152"/>
      <c r="I75" s="2153"/>
      <c r="J75" s="2269">
        <v>4</v>
      </c>
      <c r="K75" s="2270"/>
      <c r="L75" s="2269">
        <v>1.5</v>
      </c>
      <c r="M75" s="2146"/>
      <c r="O75" s="665">
        <v>0.1</v>
      </c>
      <c r="P75" s="170" t="s">
        <v>53</v>
      </c>
      <c r="Q75" s="171">
        <f t="shared" si="3"/>
        <v>1</v>
      </c>
      <c r="R75" s="69" t="str">
        <f t="shared" si="4"/>
        <v>2  joint sets</v>
      </c>
      <c r="S75" s="69"/>
      <c r="T75" s="69"/>
      <c r="U75" s="172"/>
      <c r="V75" s="173"/>
      <c r="W75" s="70"/>
    </row>
    <row r="76" spans="1:32" ht="12" customHeight="1">
      <c r="A76" s="575" t="s">
        <v>645</v>
      </c>
      <c r="B76" s="2183" t="s">
        <v>46</v>
      </c>
      <c r="C76" s="2181"/>
      <c r="D76" s="167"/>
      <c r="E76" s="167"/>
      <c r="F76" s="168"/>
      <c r="G76" s="169" t="s">
        <v>22</v>
      </c>
      <c r="H76" s="2152"/>
      <c r="I76" s="2153"/>
      <c r="J76" s="2269">
        <v>6</v>
      </c>
      <c r="K76" s="2270"/>
      <c r="L76" s="2269">
        <v>1.2</v>
      </c>
      <c r="M76" s="2146"/>
      <c r="O76" s="665">
        <v>0.01</v>
      </c>
      <c r="P76" s="170" t="s">
        <v>53</v>
      </c>
      <c r="Q76" s="171">
        <f t="shared" si="3"/>
        <v>0.1</v>
      </c>
      <c r="R76" s="69" t="str">
        <f t="shared" si="4"/>
        <v>2  joint sets + random joints</v>
      </c>
      <c r="S76" s="69"/>
      <c r="T76" s="69"/>
      <c r="U76" s="172"/>
      <c r="V76" s="173"/>
    </row>
    <row r="77" spans="1:32" ht="12" customHeight="1">
      <c r="A77" s="575" t="s">
        <v>319</v>
      </c>
      <c r="B77" s="2183" t="s">
        <v>47</v>
      </c>
      <c r="C77" s="2181"/>
      <c r="D77" s="167"/>
      <c r="E77" s="167"/>
      <c r="F77" s="168"/>
      <c r="G77" s="169" t="s">
        <v>24</v>
      </c>
      <c r="H77" s="2152"/>
      <c r="I77" s="2153"/>
      <c r="J77" s="2269">
        <v>9</v>
      </c>
      <c r="K77" s="2270"/>
      <c r="L77" s="2269">
        <v>1</v>
      </c>
      <c r="M77" s="2146"/>
      <c r="O77" s="665">
        <v>1E-3</v>
      </c>
      <c r="P77" s="170" t="s">
        <v>53</v>
      </c>
      <c r="Q77" s="171">
        <f t="shared" si="3"/>
        <v>0.01</v>
      </c>
      <c r="R77" s="69" t="str">
        <f t="shared" si="4"/>
        <v>3  joint sets</v>
      </c>
      <c r="S77" s="69"/>
      <c r="T77" s="69"/>
      <c r="U77" s="172"/>
      <c r="V77" s="174"/>
      <c r="W77" s="70"/>
    </row>
    <row r="78" spans="1:32" ht="12" customHeight="1">
      <c r="A78" s="575" t="s">
        <v>646</v>
      </c>
      <c r="B78" s="2183" t="s">
        <v>48</v>
      </c>
      <c r="C78" s="2181"/>
      <c r="D78" s="167"/>
      <c r="E78" s="167"/>
      <c r="F78" s="168"/>
      <c r="G78" s="169" t="s">
        <v>26</v>
      </c>
      <c r="H78" s="2152"/>
      <c r="I78" s="2153"/>
      <c r="J78" s="2269">
        <v>12</v>
      </c>
      <c r="K78" s="2270"/>
      <c r="L78" s="2269">
        <v>0.85</v>
      </c>
      <c r="M78" s="2146"/>
      <c r="O78" s="665">
        <v>1E-4</v>
      </c>
      <c r="P78" s="170" t="s">
        <v>53</v>
      </c>
      <c r="Q78" s="171">
        <f t="shared" si="3"/>
        <v>1E-3</v>
      </c>
      <c r="R78" s="69" t="str">
        <f t="shared" si="4"/>
        <v>3  joint sets + random joints</v>
      </c>
      <c r="S78" s="69"/>
      <c r="T78" s="69"/>
      <c r="U78" s="172"/>
      <c r="V78" s="174"/>
      <c r="W78" s="70"/>
    </row>
    <row r="79" spans="1:32" ht="12" customHeight="1" thickBot="1">
      <c r="A79" s="576" t="s">
        <v>647</v>
      </c>
      <c r="B79" s="2183" t="s">
        <v>50</v>
      </c>
      <c r="C79" s="2181"/>
      <c r="D79" s="167"/>
      <c r="E79" s="167"/>
      <c r="F79" s="175"/>
      <c r="G79" s="169" t="s">
        <v>49</v>
      </c>
      <c r="H79" s="2152"/>
      <c r="I79" s="2153"/>
      <c r="J79" s="2269">
        <v>15</v>
      </c>
      <c r="K79" s="2270"/>
      <c r="L79" s="2269">
        <v>0.6</v>
      </c>
      <c r="M79" s="2146"/>
      <c r="N79" s="159"/>
      <c r="O79" s="666">
        <v>1.0000000000000001E-5</v>
      </c>
      <c r="P79" s="176" t="s">
        <v>53</v>
      </c>
      <c r="Q79" s="177">
        <f t="shared" si="3"/>
        <v>1E-4</v>
      </c>
      <c r="R79" s="178" t="str">
        <f t="shared" si="4"/>
        <v>4  joint sets or more; heavily jointed</v>
      </c>
      <c r="S79" s="178"/>
      <c r="T79" s="178"/>
      <c r="U79" s="179"/>
      <c r="V79" s="180"/>
      <c r="W79" s="70"/>
    </row>
    <row r="80" spans="1:32" ht="12" customHeight="1" thickTop="1">
      <c r="A80" s="577" t="s">
        <v>320</v>
      </c>
      <c r="B80" s="2184" t="s">
        <v>52</v>
      </c>
      <c r="C80" s="2185"/>
      <c r="D80" s="123"/>
      <c r="E80" s="123"/>
      <c r="F80" s="204"/>
      <c r="G80" s="146" t="s">
        <v>51</v>
      </c>
      <c r="H80" s="2154"/>
      <c r="I80" s="2155"/>
      <c r="J80" s="2176">
        <v>20</v>
      </c>
      <c r="K80" s="2177"/>
      <c r="L80" s="2542">
        <v>0.5</v>
      </c>
      <c r="M80" s="2543"/>
      <c r="O80" s="2678" t="s">
        <v>139</v>
      </c>
      <c r="P80" s="2679"/>
      <c r="Q80" s="2535" t="s">
        <v>296</v>
      </c>
      <c r="R80" s="2536"/>
      <c r="S80" s="2536"/>
      <c r="T80" s="2536"/>
      <c r="U80" s="2536"/>
      <c r="V80" s="2537"/>
      <c r="W80" s="2669" t="s">
        <v>297</v>
      </c>
      <c r="X80" s="2670"/>
      <c r="Y80" s="2670"/>
      <c r="Z80" s="2670"/>
      <c r="AA80" s="2670"/>
      <c r="AB80" s="2671"/>
      <c r="AC80" s="2663" t="s">
        <v>232</v>
      </c>
      <c r="AD80" s="2664"/>
      <c r="AE80" s="2664"/>
      <c r="AF80" s="2665"/>
    </row>
    <row r="81" spans="1:32" ht="12" customHeight="1" thickBot="1">
      <c r="A81" s="426"/>
      <c r="B81" s="196"/>
      <c r="C81" s="196"/>
      <c r="D81" s="196"/>
      <c r="E81" s="196"/>
      <c r="F81" s="202"/>
      <c r="G81" s="242"/>
      <c r="H81" s="423"/>
      <c r="I81" s="424"/>
      <c r="J81" s="427"/>
      <c r="K81" s="428"/>
      <c r="L81" s="429"/>
      <c r="M81" s="430"/>
      <c r="N81" s="101"/>
      <c r="O81" s="2680"/>
      <c r="P81" s="2681"/>
      <c r="Q81" s="2538" t="s">
        <v>267</v>
      </c>
      <c r="R81" s="2539"/>
      <c r="S81" s="2540"/>
      <c r="T81" s="2539" t="s">
        <v>268</v>
      </c>
      <c r="U81" s="2539"/>
      <c r="V81" s="2541"/>
      <c r="W81" s="2675" t="s">
        <v>267</v>
      </c>
      <c r="X81" s="2676"/>
      <c r="Y81" s="2677"/>
      <c r="Z81" s="2672" t="s">
        <v>268</v>
      </c>
      <c r="AA81" s="2672"/>
      <c r="AB81" s="2673"/>
      <c r="AC81" s="573" t="s">
        <v>267</v>
      </c>
      <c r="AD81" s="2666" t="s">
        <v>268</v>
      </c>
      <c r="AE81" s="2667"/>
      <c r="AF81" s="2668"/>
    </row>
    <row r="82" spans="1:32" ht="12" customHeight="1" thickTop="1">
      <c r="A82" s="117" t="s">
        <v>224</v>
      </c>
      <c r="B82" s="2385" t="s">
        <v>834</v>
      </c>
      <c r="C82" s="2385"/>
      <c r="D82" s="2385"/>
      <c r="E82" s="2385"/>
      <c r="F82" s="2386"/>
      <c r="G82" s="181"/>
      <c r="H82" s="2389" t="s">
        <v>87</v>
      </c>
      <c r="I82" s="2390"/>
      <c r="J82" s="2560" t="s">
        <v>53</v>
      </c>
      <c r="K82" s="2390"/>
      <c r="L82" s="2560" t="s">
        <v>88</v>
      </c>
      <c r="M82" s="2239"/>
      <c r="N82" s="296"/>
      <c r="O82" s="2561" t="s">
        <v>89</v>
      </c>
      <c r="P82" s="2562"/>
      <c r="Q82" s="2688" t="s">
        <v>269</v>
      </c>
      <c r="R82" s="2689"/>
      <c r="S82" s="2690"/>
      <c r="T82" s="414"/>
      <c r="U82" s="415" t="s">
        <v>150</v>
      </c>
      <c r="V82" s="660">
        <v>15</v>
      </c>
      <c r="W82" s="2682" t="s">
        <v>269</v>
      </c>
      <c r="X82" s="2683"/>
      <c r="Y82" s="2684"/>
      <c r="Z82" s="416"/>
      <c r="AA82" s="417" t="s">
        <v>150</v>
      </c>
      <c r="AB82" s="660">
        <v>15</v>
      </c>
      <c r="AC82" s="2685" t="s">
        <v>140</v>
      </c>
      <c r="AD82" s="420"/>
      <c r="AE82" s="414"/>
      <c r="AF82" s="356"/>
    </row>
    <row r="83" spans="1:32" ht="12" customHeight="1">
      <c r="A83" s="575" t="s">
        <v>401</v>
      </c>
      <c r="B83" s="2170" t="s">
        <v>89</v>
      </c>
      <c r="C83" s="2170"/>
      <c r="D83" s="183"/>
      <c r="E83" s="183"/>
      <c r="F83" s="184"/>
      <c r="G83" s="185" t="s">
        <v>14</v>
      </c>
      <c r="H83" s="2220">
        <v>0</v>
      </c>
      <c r="I83" s="2316"/>
      <c r="J83" s="2511" t="s">
        <v>219</v>
      </c>
      <c r="K83" s="2151"/>
      <c r="L83" s="2315">
        <v>1</v>
      </c>
      <c r="M83" s="2394"/>
      <c r="N83" s="182"/>
      <c r="O83" s="2563"/>
      <c r="P83" s="2564"/>
      <c r="Q83" s="188"/>
      <c r="R83" s="412" t="s">
        <v>149</v>
      </c>
      <c r="S83" s="654">
        <v>70</v>
      </c>
      <c r="T83" s="2235" t="s">
        <v>269</v>
      </c>
      <c r="U83" s="2236"/>
      <c r="V83" s="2237"/>
      <c r="W83" s="413"/>
      <c r="X83" s="412" t="s">
        <v>149</v>
      </c>
      <c r="Y83" s="654">
        <v>70</v>
      </c>
      <c r="Z83" s="2587" t="s">
        <v>269</v>
      </c>
      <c r="AA83" s="2588"/>
      <c r="AB83" s="2589"/>
      <c r="AC83" s="2686"/>
      <c r="AD83" s="418"/>
      <c r="AE83" s="419" t="s">
        <v>149</v>
      </c>
      <c r="AF83" s="663">
        <v>60</v>
      </c>
    </row>
    <row r="84" spans="1:32" ht="12" customHeight="1">
      <c r="A84" s="575" t="s">
        <v>332</v>
      </c>
      <c r="B84" s="2181" t="s">
        <v>90</v>
      </c>
      <c r="C84" s="2181"/>
      <c r="D84" s="167"/>
      <c r="E84" s="167"/>
      <c r="F84" s="187"/>
      <c r="G84" s="169" t="s">
        <v>15</v>
      </c>
      <c r="H84" s="2145">
        <v>-2</v>
      </c>
      <c r="I84" s="2270"/>
      <c r="J84" s="2513"/>
      <c r="K84" s="2153"/>
      <c r="L84" s="2438">
        <v>1</v>
      </c>
      <c r="M84" s="2439"/>
      <c r="N84" s="186"/>
      <c r="O84" s="649" t="s">
        <v>90</v>
      </c>
      <c r="P84" s="650"/>
      <c r="Q84" s="69"/>
      <c r="R84" s="191" t="s">
        <v>150</v>
      </c>
      <c r="S84" s="655">
        <v>20</v>
      </c>
      <c r="T84" s="297"/>
      <c r="U84" s="191" t="s">
        <v>150</v>
      </c>
      <c r="V84" s="658">
        <v>20</v>
      </c>
      <c r="W84" s="297"/>
      <c r="X84" s="191" t="s">
        <v>150</v>
      </c>
      <c r="Y84" s="655">
        <v>20</v>
      </c>
      <c r="Z84" s="298"/>
      <c r="AA84" s="191" t="s">
        <v>150</v>
      </c>
      <c r="AB84" s="658">
        <v>20</v>
      </c>
      <c r="AC84" s="2686"/>
      <c r="AD84" s="662">
        <v>45</v>
      </c>
      <c r="AE84" s="189" t="s">
        <v>74</v>
      </c>
      <c r="AF84" s="658">
        <v>60</v>
      </c>
    </row>
    <row r="85" spans="1:32" ht="12" customHeight="1">
      <c r="A85" s="575" t="s">
        <v>169</v>
      </c>
      <c r="B85" s="2181" t="s">
        <v>31</v>
      </c>
      <c r="C85" s="2181"/>
      <c r="D85" s="167"/>
      <c r="E85" s="167"/>
      <c r="F85" s="187"/>
      <c r="G85" s="169" t="s">
        <v>18</v>
      </c>
      <c r="H85" s="2145">
        <v>-5</v>
      </c>
      <c r="I85" s="2270"/>
      <c r="J85" s="2513"/>
      <c r="K85" s="2153"/>
      <c r="L85" s="2269">
        <v>1.5</v>
      </c>
      <c r="M85" s="2146"/>
      <c r="O85" s="2590" t="s">
        <v>31</v>
      </c>
      <c r="P85" s="2591"/>
      <c r="Q85" s="299"/>
      <c r="R85" s="191" t="s">
        <v>150</v>
      </c>
      <c r="S85" s="655">
        <v>20</v>
      </c>
      <c r="T85" s="653">
        <v>20</v>
      </c>
      <c r="U85" s="189" t="s">
        <v>53</v>
      </c>
      <c r="V85" s="658">
        <v>45</v>
      </c>
      <c r="W85" s="300"/>
      <c r="X85" s="191" t="s">
        <v>150</v>
      </c>
      <c r="Y85" s="655">
        <v>20</v>
      </c>
      <c r="Z85" s="301"/>
      <c r="AA85" s="191" t="s">
        <v>270</v>
      </c>
      <c r="AB85" s="658">
        <v>60</v>
      </c>
      <c r="AC85" s="2686"/>
      <c r="AD85" s="2585">
        <v>30</v>
      </c>
      <c r="AE85" s="2674" t="s">
        <v>74</v>
      </c>
      <c r="AF85" s="2570">
        <v>45</v>
      </c>
    </row>
    <row r="86" spans="1:32" ht="12" customHeight="1">
      <c r="A86" s="576" t="s">
        <v>333</v>
      </c>
      <c r="B86" s="2181" t="s">
        <v>91</v>
      </c>
      <c r="C86" s="2181"/>
      <c r="D86" s="167"/>
      <c r="E86" s="167"/>
      <c r="F86" s="187"/>
      <c r="G86" s="169" t="s">
        <v>20</v>
      </c>
      <c r="H86" s="2145">
        <v>-10</v>
      </c>
      <c r="I86" s="2270"/>
      <c r="J86" s="2513"/>
      <c r="K86" s="2153"/>
      <c r="L86" s="2269">
        <v>2</v>
      </c>
      <c r="M86" s="2146"/>
      <c r="N86" s="192"/>
      <c r="O86" s="2563"/>
      <c r="P86" s="2592"/>
      <c r="Q86" s="653">
        <v>20</v>
      </c>
      <c r="R86" s="189" t="s">
        <v>53</v>
      </c>
      <c r="S86" s="655">
        <v>70</v>
      </c>
      <c r="T86" s="297"/>
      <c r="U86" s="191" t="s">
        <v>150</v>
      </c>
      <c r="V86" s="658">
        <v>45</v>
      </c>
      <c r="W86" s="661">
        <v>20</v>
      </c>
      <c r="X86" s="302" t="s">
        <v>53</v>
      </c>
      <c r="Y86" s="654">
        <v>70</v>
      </c>
      <c r="Z86" s="2587" t="s">
        <v>269</v>
      </c>
      <c r="AA86" s="2588"/>
      <c r="AB86" s="2589"/>
      <c r="AC86" s="2686"/>
      <c r="AD86" s="2586"/>
      <c r="AE86" s="2588"/>
      <c r="AF86" s="2571"/>
    </row>
    <row r="87" spans="1:32" ht="12" customHeight="1" thickBot="1">
      <c r="A87" s="648" t="s">
        <v>629</v>
      </c>
      <c r="B87" s="2195" t="s">
        <v>92</v>
      </c>
      <c r="C87" s="2195"/>
      <c r="D87" s="193"/>
      <c r="E87" s="193"/>
      <c r="F87" s="194"/>
      <c r="G87" s="195" t="s">
        <v>22</v>
      </c>
      <c r="H87" s="2396">
        <v>-12</v>
      </c>
      <c r="I87" s="2397"/>
      <c r="J87" s="2566"/>
      <c r="K87" s="2567"/>
      <c r="L87" s="2646">
        <v>3</v>
      </c>
      <c r="M87" s="2647"/>
      <c r="N87" s="192"/>
      <c r="O87" s="649" t="s">
        <v>91</v>
      </c>
      <c r="P87" s="650"/>
      <c r="Q87" s="653">
        <v>20</v>
      </c>
      <c r="R87" s="170" t="s">
        <v>74</v>
      </c>
      <c r="S87" s="655">
        <v>70</v>
      </c>
      <c r="T87" s="653">
        <v>45</v>
      </c>
      <c r="U87" s="189" t="s">
        <v>53</v>
      </c>
      <c r="V87" s="658">
        <v>90</v>
      </c>
      <c r="W87" s="303"/>
      <c r="X87" s="191" t="s">
        <v>150</v>
      </c>
      <c r="Y87" s="655">
        <v>20</v>
      </c>
      <c r="Z87" s="61"/>
      <c r="AA87" s="191" t="s">
        <v>149</v>
      </c>
      <c r="AB87" s="658">
        <v>60</v>
      </c>
      <c r="AC87" s="2686"/>
      <c r="AD87" s="662">
        <v>15</v>
      </c>
      <c r="AE87" s="189" t="s">
        <v>74</v>
      </c>
      <c r="AF87" s="658">
        <v>30</v>
      </c>
    </row>
    <row r="88" spans="1:32" ht="12" customHeight="1" thickBot="1">
      <c r="A88" s="149"/>
      <c r="B88" s="196"/>
      <c r="C88" s="196"/>
      <c r="D88" s="196"/>
      <c r="E88" s="196"/>
      <c r="F88" s="196"/>
      <c r="G88" s="196"/>
      <c r="H88" s="197"/>
      <c r="I88" s="197"/>
      <c r="J88" s="197"/>
      <c r="K88" s="197"/>
      <c r="N88" s="198"/>
      <c r="O88" s="651" t="s">
        <v>92</v>
      </c>
      <c r="P88" s="652"/>
      <c r="Q88" s="304"/>
      <c r="R88" s="199" t="s">
        <v>150</v>
      </c>
      <c r="S88" s="656">
        <v>20</v>
      </c>
      <c r="T88" s="657">
        <v>45</v>
      </c>
      <c r="U88" s="305" t="s">
        <v>53</v>
      </c>
      <c r="V88" s="659">
        <v>90</v>
      </c>
      <c r="W88" s="306"/>
      <c r="X88" s="305" t="s">
        <v>53</v>
      </c>
      <c r="Y88" s="307"/>
      <c r="Z88" s="308"/>
      <c r="AA88" s="309" t="s">
        <v>53</v>
      </c>
      <c r="AB88" s="200"/>
      <c r="AC88" s="2687"/>
      <c r="AD88" s="306"/>
      <c r="AE88" s="199" t="s">
        <v>150</v>
      </c>
      <c r="AF88" s="659">
        <v>15</v>
      </c>
    </row>
    <row r="89" spans="1:32" ht="15" customHeight="1">
      <c r="A89" s="79" t="s">
        <v>1097</v>
      </c>
      <c r="B89" s="2387" t="s">
        <v>54</v>
      </c>
      <c r="C89" s="2387"/>
      <c r="D89" s="2387"/>
      <c r="E89" s="2387"/>
      <c r="F89" s="2388"/>
      <c r="G89" s="2099" t="s">
        <v>242</v>
      </c>
      <c r="H89" s="2076" t="s">
        <v>363</v>
      </c>
      <c r="I89" s="2077"/>
      <c r="J89" s="2076" t="s">
        <v>180</v>
      </c>
      <c r="K89" s="2077"/>
      <c r="L89" s="2648" t="s">
        <v>1</v>
      </c>
      <c r="M89" s="2649"/>
      <c r="O89"/>
      <c r="P89"/>
      <c r="Q89"/>
      <c r="R89"/>
      <c r="S89"/>
      <c r="T89"/>
      <c r="U89"/>
      <c r="V89"/>
      <c r="W89"/>
      <c r="X89"/>
      <c r="Y89"/>
      <c r="Z89"/>
      <c r="AA89"/>
      <c r="AB89"/>
      <c r="AC89"/>
      <c r="AD89"/>
      <c r="AE89"/>
    </row>
    <row r="90" spans="1:32" ht="12" customHeight="1">
      <c r="A90" s="80" t="s">
        <v>7</v>
      </c>
      <c r="B90" s="2196" t="s">
        <v>833</v>
      </c>
      <c r="C90" s="2196"/>
      <c r="D90" s="2196"/>
      <c r="E90" s="2196"/>
      <c r="F90" s="2197"/>
      <c r="G90" s="2100"/>
      <c r="H90" s="2101" t="s">
        <v>55</v>
      </c>
      <c r="I90" s="2411"/>
      <c r="J90" s="2389" t="s">
        <v>56</v>
      </c>
      <c r="K90" s="2568"/>
      <c r="L90" s="2280" t="s">
        <v>57</v>
      </c>
      <c r="M90" s="2565"/>
      <c r="Z90"/>
      <c r="AA90"/>
      <c r="AB90"/>
      <c r="AC90"/>
      <c r="AD90"/>
      <c r="AE90"/>
    </row>
    <row r="91" spans="1:32" ht="12" customHeight="1">
      <c r="A91" s="575" t="s">
        <v>321</v>
      </c>
      <c r="B91" s="2188" t="s">
        <v>246</v>
      </c>
      <c r="C91" s="2189"/>
      <c r="D91" s="2190"/>
      <c r="E91" s="2190"/>
      <c r="F91" s="2191"/>
      <c r="G91" s="139" t="s">
        <v>14</v>
      </c>
      <c r="H91" s="2220">
        <v>6</v>
      </c>
      <c r="I91" s="2221"/>
      <c r="J91" s="2220">
        <v>2</v>
      </c>
      <c r="K91" s="2221"/>
      <c r="L91" s="2220">
        <v>2</v>
      </c>
      <c r="M91" s="2394"/>
      <c r="AB91"/>
      <c r="AC91"/>
      <c r="AD91"/>
      <c r="AE91"/>
    </row>
    <row r="92" spans="1:32" ht="12" customHeight="1">
      <c r="A92" s="575" t="s">
        <v>322</v>
      </c>
      <c r="B92" s="2208" t="s">
        <v>58</v>
      </c>
      <c r="C92" s="2209"/>
      <c r="D92" s="2210"/>
      <c r="E92" s="2210"/>
      <c r="F92" s="2211"/>
      <c r="G92" s="142" t="s">
        <v>15</v>
      </c>
      <c r="H92" s="2145">
        <v>5</v>
      </c>
      <c r="I92" s="2149"/>
      <c r="J92" s="2145">
        <v>1.5</v>
      </c>
      <c r="K92" s="2149"/>
      <c r="L92" s="2145">
        <v>1.5</v>
      </c>
      <c r="M92" s="2146"/>
      <c r="AB92"/>
      <c r="AC92"/>
      <c r="AD92"/>
      <c r="AE92"/>
    </row>
    <row r="93" spans="1:32" ht="12" customHeight="1">
      <c r="A93" s="575" t="s">
        <v>323</v>
      </c>
      <c r="B93" s="2208" t="s">
        <v>59</v>
      </c>
      <c r="C93" s="2209"/>
      <c r="D93" s="2210"/>
      <c r="E93" s="2210"/>
      <c r="F93" s="2211"/>
      <c r="G93" s="142" t="s">
        <v>18</v>
      </c>
      <c r="H93" s="2145">
        <v>3</v>
      </c>
      <c r="I93" s="2149"/>
      <c r="J93" s="2145">
        <v>1.25</v>
      </c>
      <c r="K93" s="2149"/>
      <c r="L93" s="2275">
        <v>1.25</v>
      </c>
      <c r="M93" s="2276"/>
      <c r="AB93"/>
      <c r="AC93"/>
      <c r="AD93"/>
      <c r="AE93"/>
    </row>
    <row r="94" spans="1:32" ht="12" customHeight="1">
      <c r="A94" s="575" t="s">
        <v>324</v>
      </c>
      <c r="B94" s="2208" t="s">
        <v>60</v>
      </c>
      <c r="C94" s="2209"/>
      <c r="D94" s="2210"/>
      <c r="E94" s="2210"/>
      <c r="F94" s="2211"/>
      <c r="G94" s="142" t="s">
        <v>20</v>
      </c>
      <c r="H94" s="2145">
        <v>1</v>
      </c>
      <c r="I94" s="2149"/>
      <c r="J94" s="2145">
        <v>1</v>
      </c>
      <c r="K94" s="2149"/>
      <c r="L94" s="2145">
        <v>1</v>
      </c>
      <c r="M94" s="2146"/>
    </row>
    <row r="95" spans="1:32" ht="12" customHeight="1">
      <c r="A95" s="576" t="s">
        <v>325</v>
      </c>
      <c r="B95" s="2208" t="s">
        <v>61</v>
      </c>
      <c r="C95" s="2209"/>
      <c r="D95" s="2210"/>
      <c r="E95" s="2210"/>
      <c r="F95" s="2211"/>
      <c r="G95" s="142" t="s">
        <v>22</v>
      </c>
      <c r="H95" s="2145">
        <v>0</v>
      </c>
      <c r="I95" s="2149"/>
      <c r="J95" s="2145">
        <v>0.75</v>
      </c>
      <c r="K95" s="2149"/>
      <c r="L95" s="2145">
        <v>0.75</v>
      </c>
      <c r="M95" s="2146"/>
    </row>
    <row r="96" spans="1:32" ht="12" customHeight="1">
      <c r="A96" s="575" t="s">
        <v>326</v>
      </c>
      <c r="B96" s="2208" t="s">
        <v>62</v>
      </c>
      <c r="C96" s="2209"/>
      <c r="D96" s="2210"/>
      <c r="E96" s="2210"/>
      <c r="F96" s="2211"/>
      <c r="G96" s="201" t="s">
        <v>24</v>
      </c>
      <c r="H96" s="2145">
        <v>0</v>
      </c>
      <c r="I96" s="2149"/>
      <c r="J96" s="2145">
        <v>0.5</v>
      </c>
      <c r="K96" s="2149"/>
      <c r="L96" s="2145">
        <v>0.5</v>
      </c>
      <c r="M96" s="2146"/>
    </row>
    <row r="97" spans="1:20" ht="12" customHeight="1" thickBot="1">
      <c r="A97" s="616" t="s">
        <v>648</v>
      </c>
      <c r="B97" s="196" t="s">
        <v>245</v>
      </c>
      <c r="C97" s="196"/>
      <c r="D97" s="196"/>
      <c r="E97" s="196"/>
      <c r="F97" s="202"/>
      <c r="G97" s="203" t="s">
        <v>26</v>
      </c>
      <c r="H97" s="2156">
        <v>0</v>
      </c>
      <c r="I97" s="2157"/>
      <c r="J97" s="2156">
        <v>1</v>
      </c>
      <c r="K97" s="2157"/>
      <c r="L97" s="2156">
        <v>1</v>
      </c>
      <c r="M97" s="2277"/>
    </row>
    <row r="98" spans="1:20" ht="12" customHeight="1" thickTop="1">
      <c r="A98" s="117" t="s">
        <v>8</v>
      </c>
      <c r="B98" s="2204" t="s">
        <v>835</v>
      </c>
      <c r="C98" s="2204"/>
      <c r="D98" s="2204"/>
      <c r="E98" s="2204"/>
      <c r="F98" s="2408"/>
      <c r="G98" s="118"/>
      <c r="H98" s="2160" t="s">
        <v>53</v>
      </c>
      <c r="I98" s="2215"/>
      <c r="J98" s="2282" t="s">
        <v>63</v>
      </c>
      <c r="K98" s="2657"/>
      <c r="L98" s="2282" t="s">
        <v>64</v>
      </c>
      <c r="M98" s="2283"/>
    </row>
    <row r="99" spans="1:20" ht="12" customHeight="1">
      <c r="A99" s="575" t="s">
        <v>614</v>
      </c>
      <c r="B99" s="2188" t="s">
        <v>193</v>
      </c>
      <c r="C99" s="2189"/>
      <c r="D99" s="2190"/>
      <c r="E99" s="2190"/>
      <c r="F99" s="2191"/>
      <c r="G99" s="119" t="s">
        <v>14</v>
      </c>
      <c r="H99" s="2150" t="s">
        <v>219</v>
      </c>
      <c r="I99" s="2212"/>
      <c r="J99" s="2393">
        <v>4</v>
      </c>
      <c r="K99" s="2221"/>
      <c r="L99" s="2220">
        <v>4</v>
      </c>
      <c r="M99" s="2394"/>
    </row>
    <row r="100" spans="1:20" ht="12" customHeight="1">
      <c r="A100" s="575" t="s">
        <v>329</v>
      </c>
      <c r="B100" s="2208" t="s">
        <v>65</v>
      </c>
      <c r="C100" s="2209"/>
      <c r="D100" s="2210"/>
      <c r="E100" s="2210"/>
      <c r="F100" s="2211"/>
      <c r="G100" s="113" t="s">
        <v>15</v>
      </c>
      <c r="H100" s="2152"/>
      <c r="I100" s="2213"/>
      <c r="J100" s="2207">
        <v>2.5</v>
      </c>
      <c r="K100" s="2149"/>
      <c r="L100" s="2145">
        <v>2.5</v>
      </c>
      <c r="M100" s="2146"/>
    </row>
    <row r="101" spans="1:20" ht="12" customHeight="1">
      <c r="A101" s="575" t="s">
        <v>342</v>
      </c>
      <c r="B101" s="2208" t="s">
        <v>66</v>
      </c>
      <c r="C101" s="2209"/>
      <c r="D101" s="2210"/>
      <c r="E101" s="2210"/>
      <c r="F101" s="2211"/>
      <c r="G101" s="113" t="s">
        <v>18</v>
      </c>
      <c r="H101" s="2152"/>
      <c r="I101" s="2213"/>
      <c r="J101" s="2207">
        <v>2</v>
      </c>
      <c r="K101" s="2149"/>
      <c r="L101" s="2145">
        <v>2</v>
      </c>
      <c r="M101" s="2146"/>
    </row>
    <row r="102" spans="1:20" ht="12" customHeight="1">
      <c r="A102" s="576" t="s">
        <v>328</v>
      </c>
      <c r="B102" s="2208" t="s">
        <v>67</v>
      </c>
      <c r="C102" s="2209"/>
      <c r="D102" s="2210"/>
      <c r="E102" s="2210"/>
      <c r="F102" s="2211"/>
      <c r="G102" s="113" t="s">
        <v>20</v>
      </c>
      <c r="H102" s="2152"/>
      <c r="I102" s="2213"/>
      <c r="J102" s="2207">
        <v>1.4</v>
      </c>
      <c r="K102" s="2149"/>
      <c r="L102" s="2275">
        <v>1.4</v>
      </c>
      <c r="M102" s="2276"/>
    </row>
    <row r="103" spans="1:20" ht="12" customHeight="1">
      <c r="A103" s="575" t="s">
        <v>327</v>
      </c>
      <c r="B103" s="2399" t="s">
        <v>68</v>
      </c>
      <c r="C103" s="2400"/>
      <c r="D103" s="2400"/>
      <c r="E103" s="2400"/>
      <c r="F103" s="2401"/>
      <c r="G103" s="113" t="s">
        <v>22</v>
      </c>
      <c r="H103" s="2152"/>
      <c r="I103" s="2213"/>
      <c r="J103" s="2145">
        <v>1</v>
      </c>
      <c r="K103" s="2149"/>
      <c r="L103" s="2145">
        <v>1</v>
      </c>
      <c r="M103" s="2146"/>
    </row>
    <row r="104" spans="1:20" ht="12" customHeight="1">
      <c r="A104" s="577" t="s">
        <v>649</v>
      </c>
      <c r="B104" s="196" t="s">
        <v>245</v>
      </c>
      <c r="C104" s="196"/>
      <c r="D104" s="196"/>
      <c r="E104" s="196"/>
      <c r="F104" s="204"/>
      <c r="G104" s="205" t="s">
        <v>26</v>
      </c>
      <c r="H104" s="2154"/>
      <c r="I104" s="2214"/>
      <c r="J104" s="2218">
        <v>1</v>
      </c>
      <c r="K104" s="2219"/>
      <c r="L104" s="2216">
        <v>1</v>
      </c>
      <c r="M104" s="2217"/>
    </row>
    <row r="105" spans="1:20" ht="12" customHeight="1" thickBot="1">
      <c r="A105" s="206"/>
      <c r="B105" s="2380" t="s">
        <v>200</v>
      </c>
      <c r="C105" s="2380"/>
      <c r="D105" s="207"/>
      <c r="E105" s="207"/>
      <c r="F105" s="2391" t="s">
        <v>247</v>
      </c>
      <c r="G105" s="2391"/>
      <c r="H105" s="2391"/>
      <c r="I105" s="2391"/>
      <c r="J105" s="2391"/>
      <c r="K105" s="2391"/>
      <c r="L105" s="2391"/>
      <c r="M105" s="2392"/>
    </row>
    <row r="106" spans="1:20" ht="12" customHeight="1" thickTop="1">
      <c r="A106" s="117" t="s">
        <v>9</v>
      </c>
      <c r="B106" s="2402" t="s">
        <v>186</v>
      </c>
      <c r="C106" s="2402"/>
      <c r="D106" s="2402"/>
      <c r="E106" s="2402"/>
      <c r="F106" s="2403"/>
      <c r="G106" s="181"/>
      <c r="H106" s="2143" t="s">
        <v>69</v>
      </c>
      <c r="I106" s="2144"/>
      <c r="J106" s="2143" t="s">
        <v>70</v>
      </c>
      <c r="K106" s="2144"/>
      <c r="L106" s="2143" t="s">
        <v>71</v>
      </c>
      <c r="M106" s="2159"/>
      <c r="N106" s="208"/>
    </row>
    <row r="107" spans="1:20" ht="12" customHeight="1">
      <c r="A107" s="617" t="s">
        <v>650</v>
      </c>
      <c r="B107" s="2186" t="s">
        <v>72</v>
      </c>
      <c r="C107" s="2187"/>
      <c r="D107" s="2169"/>
      <c r="E107" s="2169"/>
      <c r="F107" s="2395"/>
      <c r="G107" s="185" t="s">
        <v>14</v>
      </c>
      <c r="H107" s="2220">
        <v>6</v>
      </c>
      <c r="I107" s="2221"/>
      <c r="J107" s="2147">
        <v>0.75</v>
      </c>
      <c r="K107" s="2148"/>
      <c r="L107" s="2147">
        <v>0.75</v>
      </c>
      <c r="M107" s="2158"/>
      <c r="N107" s="209"/>
    </row>
    <row r="108" spans="1:20" ht="12" customHeight="1">
      <c r="A108" s="618" t="s">
        <v>1026</v>
      </c>
      <c r="B108" s="2205" t="s">
        <v>849</v>
      </c>
      <c r="C108" s="2206"/>
      <c r="D108" s="2180"/>
      <c r="E108" s="2180"/>
      <c r="F108" s="2381"/>
      <c r="G108" s="169" t="s">
        <v>15</v>
      </c>
      <c r="H108" s="2145">
        <v>6</v>
      </c>
      <c r="I108" s="2149"/>
      <c r="J108" s="2145">
        <v>1</v>
      </c>
      <c r="K108" s="2149"/>
      <c r="L108" s="2275">
        <v>1</v>
      </c>
      <c r="M108" s="2276"/>
      <c r="N108" s="209"/>
    </row>
    <row r="109" spans="1:20" ht="12" customHeight="1">
      <c r="A109" s="618" t="s">
        <v>1027</v>
      </c>
      <c r="B109" s="2205" t="s">
        <v>622</v>
      </c>
      <c r="C109" s="2206"/>
      <c r="D109" s="2180"/>
      <c r="E109" s="2180"/>
      <c r="F109" s="2381"/>
      <c r="G109" s="169" t="s">
        <v>18</v>
      </c>
      <c r="H109" s="2145">
        <v>5</v>
      </c>
      <c r="I109" s="2149"/>
      <c r="J109" s="2145">
        <v>2</v>
      </c>
      <c r="K109" s="2149"/>
      <c r="L109" s="2145">
        <v>2</v>
      </c>
      <c r="M109" s="2146"/>
      <c r="N109" s="209"/>
    </row>
    <row r="110" spans="1:20" ht="12" customHeight="1">
      <c r="A110" s="618" t="s">
        <v>1028</v>
      </c>
      <c r="B110" s="2205" t="s">
        <v>623</v>
      </c>
      <c r="C110" s="2206"/>
      <c r="D110" s="2180"/>
      <c r="E110" s="2180"/>
      <c r="F110" s="2381"/>
      <c r="G110" s="169" t="s">
        <v>20</v>
      </c>
      <c r="H110" s="2145">
        <v>3</v>
      </c>
      <c r="I110" s="2149"/>
      <c r="J110" s="2145">
        <v>4</v>
      </c>
      <c r="K110" s="2149"/>
      <c r="L110" s="2145">
        <v>4</v>
      </c>
      <c r="M110" s="2146"/>
      <c r="N110" s="209"/>
    </row>
    <row r="111" spans="1:20" ht="12" customHeight="1">
      <c r="A111" s="618" t="s">
        <v>1029</v>
      </c>
      <c r="B111" s="2205" t="s">
        <v>624</v>
      </c>
      <c r="C111" s="2206"/>
      <c r="D111" s="2180"/>
      <c r="E111" s="2180"/>
      <c r="F111" s="2381"/>
      <c r="G111" s="169" t="s">
        <v>22</v>
      </c>
      <c r="H111" s="2145">
        <v>1</v>
      </c>
      <c r="I111" s="2149"/>
      <c r="J111" s="2145">
        <v>3</v>
      </c>
      <c r="K111" s="2149"/>
      <c r="L111" s="2145">
        <v>3</v>
      </c>
      <c r="M111" s="2146"/>
      <c r="N111" s="209"/>
      <c r="O111" s="2608" t="s">
        <v>198</v>
      </c>
      <c r="P111" s="2609"/>
      <c r="Q111" s="2609"/>
      <c r="R111" s="2610"/>
      <c r="S111" s="210"/>
      <c r="T111" s="210"/>
    </row>
    <row r="112" spans="1:20" ht="12" customHeight="1">
      <c r="A112" s="619" t="s">
        <v>1030</v>
      </c>
      <c r="B112" s="2205" t="s">
        <v>850</v>
      </c>
      <c r="C112" s="2206"/>
      <c r="D112" s="2180"/>
      <c r="E112" s="2180"/>
      <c r="F112" s="2381"/>
      <c r="G112" s="211" t="s">
        <v>24</v>
      </c>
      <c r="H112" s="2228">
        <v>0</v>
      </c>
      <c r="I112" s="2229"/>
      <c r="J112" s="2228">
        <v>4</v>
      </c>
      <c r="K112" s="2229"/>
      <c r="L112" s="2228">
        <v>4</v>
      </c>
      <c r="M112" s="2622"/>
      <c r="N112" s="209"/>
      <c r="O112" s="2611"/>
      <c r="P112" s="2612"/>
      <c r="Q112" s="2612"/>
      <c r="R112" s="2613"/>
      <c r="S112" s="210"/>
      <c r="T112" s="210"/>
    </row>
    <row r="113" spans="1:24" ht="9" customHeight="1">
      <c r="A113" s="404"/>
      <c r="B113" s="2644" t="s">
        <v>826</v>
      </c>
      <c r="C113" s="2644"/>
      <c r="D113" s="212"/>
      <c r="E113" s="212"/>
      <c r="F113" s="213"/>
      <c r="G113" s="214"/>
      <c r="H113" s="2406" t="s">
        <v>73</v>
      </c>
      <c r="I113" s="2407"/>
      <c r="J113" s="2660" t="s">
        <v>206</v>
      </c>
      <c r="K113" s="2658" t="s">
        <v>207</v>
      </c>
      <c r="L113" s="2198" t="s">
        <v>71</v>
      </c>
      <c r="M113" s="2199"/>
      <c r="O113" s="2593" t="s">
        <v>243</v>
      </c>
      <c r="P113" s="2594"/>
      <c r="Q113" s="2604" t="s">
        <v>244</v>
      </c>
      <c r="R113" s="2605"/>
      <c r="S113" s="215"/>
      <c r="T113" s="215"/>
    </row>
    <row r="114" spans="1:24" ht="8.25" customHeight="1">
      <c r="A114" s="405"/>
      <c r="B114" s="2645"/>
      <c r="C114" s="2645"/>
      <c r="D114" s="2378" t="s">
        <v>179</v>
      </c>
      <c r="E114" s="2378"/>
      <c r="F114" s="2379"/>
      <c r="G114" s="216"/>
      <c r="H114" s="217" t="s">
        <v>170</v>
      </c>
      <c r="I114" s="218" t="s">
        <v>171</v>
      </c>
      <c r="J114" s="2661"/>
      <c r="K114" s="2659"/>
      <c r="L114" s="219" t="s">
        <v>248</v>
      </c>
      <c r="M114" s="220" t="s">
        <v>249</v>
      </c>
      <c r="N114" s="221"/>
      <c r="O114" s="2595"/>
      <c r="P114" s="2596"/>
      <c r="Q114" s="2606"/>
      <c r="R114" s="2607"/>
      <c r="S114" s="215"/>
      <c r="T114" s="215"/>
    </row>
    <row r="115" spans="1:24" ht="12" customHeight="1">
      <c r="A115" s="618" t="s">
        <v>821</v>
      </c>
      <c r="B115" s="2205" t="s">
        <v>851</v>
      </c>
      <c r="C115" s="2206"/>
      <c r="D115" s="2180"/>
      <c r="E115" s="2180"/>
      <c r="F115" s="2381"/>
      <c r="G115" s="169" t="s">
        <v>175</v>
      </c>
      <c r="H115" s="621">
        <v>5</v>
      </c>
      <c r="I115" s="622">
        <v>2</v>
      </c>
      <c r="J115" s="599">
        <v>4</v>
      </c>
      <c r="K115" s="623">
        <v>7</v>
      </c>
      <c r="L115" s="599">
        <v>4</v>
      </c>
      <c r="M115" s="624">
        <v>7</v>
      </c>
      <c r="N115" s="222" t="s">
        <v>519</v>
      </c>
      <c r="O115" s="2703">
        <v>4</v>
      </c>
      <c r="P115" s="2704"/>
      <c r="Q115" s="2602" t="s">
        <v>926</v>
      </c>
      <c r="R115" s="2603"/>
      <c r="S115" s="223"/>
      <c r="T115" s="223"/>
      <c r="U115" s="2569"/>
      <c r="V115" s="2569"/>
      <c r="W115" s="2569"/>
      <c r="X115" s="2569"/>
    </row>
    <row r="116" spans="1:24" ht="12" customHeight="1">
      <c r="A116" s="618" t="s">
        <v>822</v>
      </c>
      <c r="B116" s="2205" t="s">
        <v>853</v>
      </c>
      <c r="C116" s="2206"/>
      <c r="D116" s="2180"/>
      <c r="E116" s="2180"/>
      <c r="F116" s="2381"/>
      <c r="G116" s="169" t="s">
        <v>176</v>
      </c>
      <c r="H116" s="608">
        <v>4</v>
      </c>
      <c r="I116" s="623">
        <v>2</v>
      </c>
      <c r="J116" s="599">
        <v>6</v>
      </c>
      <c r="K116" s="623">
        <v>8</v>
      </c>
      <c r="L116" s="599">
        <v>6</v>
      </c>
      <c r="M116" s="624">
        <v>8</v>
      </c>
      <c r="N116" s="222" t="s">
        <v>519</v>
      </c>
      <c r="O116" s="2141">
        <v>6</v>
      </c>
      <c r="P116" s="2142"/>
      <c r="Q116" s="2600" t="s">
        <v>153</v>
      </c>
      <c r="R116" s="2601"/>
      <c r="S116" s="223"/>
      <c r="T116" s="223"/>
      <c r="U116" s="2569"/>
      <c r="V116" s="2569"/>
      <c r="W116" s="2569"/>
      <c r="X116" s="2569"/>
    </row>
    <row r="117" spans="1:24" ht="12" customHeight="1">
      <c r="A117" s="618" t="s">
        <v>823</v>
      </c>
      <c r="B117" s="2205" t="s">
        <v>852</v>
      </c>
      <c r="C117" s="2206"/>
      <c r="D117" s="2180"/>
      <c r="E117" s="2180"/>
      <c r="F117" s="2381"/>
      <c r="G117" s="169" t="s">
        <v>177</v>
      </c>
      <c r="H117" s="608">
        <v>2</v>
      </c>
      <c r="I117" s="623">
        <v>0</v>
      </c>
      <c r="J117" s="599">
        <v>8</v>
      </c>
      <c r="K117" s="623">
        <v>12</v>
      </c>
      <c r="L117" s="599">
        <v>8</v>
      </c>
      <c r="M117" s="624">
        <v>12</v>
      </c>
      <c r="N117" s="222" t="s">
        <v>519</v>
      </c>
      <c r="O117" s="2141">
        <v>8</v>
      </c>
      <c r="P117" s="2142"/>
      <c r="Q117" s="2600">
        <v>12</v>
      </c>
      <c r="R117" s="2601"/>
      <c r="S117" s="223"/>
      <c r="T117" s="223"/>
      <c r="U117" s="2691"/>
      <c r="V117" s="2691"/>
      <c r="W117" s="2691"/>
      <c r="X117" s="2691"/>
    </row>
    <row r="118" spans="1:24" ht="12" customHeight="1">
      <c r="A118" s="620" t="s">
        <v>952</v>
      </c>
      <c r="B118" s="61" t="s">
        <v>933</v>
      </c>
      <c r="F118" s="294"/>
      <c r="G118" s="409" t="s">
        <v>178</v>
      </c>
      <c r="H118" s="2139">
        <v>0</v>
      </c>
      <c r="I118" s="2137">
        <v>0</v>
      </c>
      <c r="J118" s="625">
        <v>12</v>
      </c>
      <c r="K118" s="626">
        <v>16</v>
      </c>
      <c r="L118" s="625">
        <v>12</v>
      </c>
      <c r="M118" s="627">
        <v>16</v>
      </c>
      <c r="N118" s="410" t="s">
        <v>519</v>
      </c>
      <c r="O118" s="2141" t="s">
        <v>156</v>
      </c>
      <c r="P118" s="2142"/>
      <c r="Q118" s="2126">
        <v>13</v>
      </c>
      <c r="R118" s="2127"/>
      <c r="S118" s="223"/>
      <c r="T118" s="223"/>
      <c r="U118" s="2569"/>
      <c r="V118" s="2569"/>
      <c r="W118" s="2569"/>
      <c r="X118" s="2569"/>
    </row>
    <row r="119" spans="1:24" ht="12" customHeight="1">
      <c r="A119" s="618" t="s">
        <v>824</v>
      </c>
      <c r="B119" s="2227" t="s">
        <v>934</v>
      </c>
      <c r="C119" s="2095"/>
      <c r="D119" s="2166"/>
      <c r="E119" s="2166"/>
      <c r="F119" s="2623"/>
      <c r="G119" s="243" t="s">
        <v>854</v>
      </c>
      <c r="H119" s="2140"/>
      <c r="I119" s="2138"/>
      <c r="J119" s="628">
        <v>16</v>
      </c>
      <c r="K119" s="629">
        <v>20</v>
      </c>
      <c r="L119" s="628">
        <v>16</v>
      </c>
      <c r="M119" s="630">
        <v>20</v>
      </c>
      <c r="N119" s="410" t="s">
        <v>519</v>
      </c>
      <c r="O119" s="2598" t="s">
        <v>154</v>
      </c>
      <c r="P119" s="2599"/>
      <c r="Q119" s="2692" t="s">
        <v>155</v>
      </c>
      <c r="R119" s="2693"/>
      <c r="S119" s="223"/>
      <c r="T119" s="223"/>
      <c r="U119" s="402"/>
      <c r="V119" s="402"/>
      <c r="W119" s="402"/>
      <c r="X119" s="402"/>
    </row>
    <row r="120" spans="1:24" ht="10.5" customHeight="1">
      <c r="A120" s="406"/>
      <c r="B120" s="525" t="s">
        <v>288</v>
      </c>
      <c r="C120" s="523"/>
      <c r="D120" s="523"/>
      <c r="E120" s="523"/>
      <c r="F120" s="523"/>
      <c r="G120" s="523"/>
      <c r="H120" s="523"/>
      <c r="I120" s="523"/>
      <c r="J120" s="523"/>
      <c r="K120" s="523"/>
      <c r="L120" s="523"/>
      <c r="M120" s="524"/>
      <c r="N120" s="225"/>
    </row>
    <row r="121" spans="1:24" ht="9.75" customHeight="1" thickBot="1">
      <c r="A121" s="407"/>
      <c r="B121" s="2639" t="s">
        <v>953</v>
      </c>
      <c r="C121" s="2639"/>
      <c r="D121" s="2639"/>
      <c r="E121" s="2639"/>
      <c r="F121" s="2639"/>
      <c r="G121" s="2639"/>
      <c r="H121" s="2639"/>
      <c r="I121" s="2639"/>
      <c r="J121" s="2639"/>
      <c r="K121" s="2639"/>
      <c r="L121" s="2639"/>
      <c r="M121" s="2640"/>
      <c r="N121" s="65"/>
    </row>
    <row r="122" spans="1:24" ht="12" customHeight="1" thickTop="1">
      <c r="A122" s="408" t="s">
        <v>184</v>
      </c>
      <c r="B122" s="2404" t="s">
        <v>181</v>
      </c>
      <c r="C122" s="2404"/>
      <c r="D122" s="2404"/>
      <c r="E122" s="2404"/>
      <c r="F122" s="2405"/>
      <c r="G122" s="226"/>
      <c r="H122" s="2389" t="s">
        <v>75</v>
      </c>
      <c r="I122" s="2238"/>
      <c r="J122" s="2240" t="s">
        <v>53</v>
      </c>
      <c r="K122" s="2161"/>
      <c r="L122" s="2238" t="s">
        <v>76</v>
      </c>
      <c r="M122" s="2239"/>
    </row>
    <row r="123" spans="1:24" ht="12" customHeight="1">
      <c r="A123" s="617" t="s">
        <v>330</v>
      </c>
      <c r="B123" s="2186" t="s">
        <v>289</v>
      </c>
      <c r="C123" s="2187"/>
      <c r="D123" s="2382" t="s">
        <v>937</v>
      </c>
      <c r="E123" s="2383"/>
      <c r="F123" s="2384"/>
      <c r="G123" s="227" t="s">
        <v>14</v>
      </c>
      <c r="H123" s="2220">
        <v>8</v>
      </c>
      <c r="I123" s="2316"/>
      <c r="J123" s="2511" t="s">
        <v>219</v>
      </c>
      <c r="K123" s="2151"/>
      <c r="L123" s="2315">
        <v>5</v>
      </c>
      <c r="M123" s="2394"/>
    </row>
    <row r="124" spans="1:24" ht="12" customHeight="1">
      <c r="A124" s="575" t="s">
        <v>651</v>
      </c>
      <c r="B124" s="2205" t="s">
        <v>77</v>
      </c>
      <c r="C124" s="2206"/>
      <c r="D124" s="2222" t="s">
        <v>938</v>
      </c>
      <c r="E124" s="2200"/>
      <c r="F124" s="2223"/>
      <c r="G124" s="169" t="s">
        <v>15</v>
      </c>
      <c r="H124" s="2145">
        <v>6</v>
      </c>
      <c r="I124" s="2270"/>
      <c r="J124" s="2513"/>
      <c r="K124" s="2153"/>
      <c r="L124" s="2269">
        <v>3</v>
      </c>
      <c r="M124" s="2146"/>
    </row>
    <row r="125" spans="1:24" ht="12" customHeight="1">
      <c r="A125" s="575" t="s">
        <v>652</v>
      </c>
      <c r="B125" s="2205" t="s">
        <v>78</v>
      </c>
      <c r="C125" s="2206"/>
      <c r="D125" s="2222" t="s">
        <v>939</v>
      </c>
      <c r="E125" s="2200"/>
      <c r="F125" s="2223"/>
      <c r="G125" s="169" t="s">
        <v>18</v>
      </c>
      <c r="H125" s="2145"/>
      <c r="I125" s="2270"/>
      <c r="J125" s="2513"/>
      <c r="K125" s="2153"/>
      <c r="L125" s="2269">
        <v>2</v>
      </c>
      <c r="M125" s="2146"/>
    </row>
    <row r="126" spans="1:24" ht="12" customHeight="1">
      <c r="A126" s="575" t="s">
        <v>653</v>
      </c>
      <c r="B126" s="2205" t="s">
        <v>79</v>
      </c>
      <c r="C126" s="2206"/>
      <c r="D126" s="2222" t="s">
        <v>940</v>
      </c>
      <c r="E126" s="2200"/>
      <c r="F126" s="2223"/>
      <c r="G126" s="169" t="s">
        <v>20</v>
      </c>
      <c r="H126" s="2145">
        <v>4</v>
      </c>
      <c r="I126" s="2270"/>
      <c r="J126" s="2513"/>
      <c r="K126" s="2153"/>
      <c r="L126" s="2269">
        <v>1.5</v>
      </c>
      <c r="M126" s="2146"/>
    </row>
    <row r="127" spans="1:24" ht="12" customHeight="1">
      <c r="A127" s="575" t="s">
        <v>654</v>
      </c>
      <c r="B127" s="2205" t="s">
        <v>80</v>
      </c>
      <c r="C127" s="2206"/>
      <c r="D127" s="2222" t="s">
        <v>941</v>
      </c>
      <c r="E127" s="2200"/>
      <c r="F127" s="2223"/>
      <c r="G127" s="169" t="s">
        <v>22</v>
      </c>
      <c r="H127" s="2145">
        <v>2</v>
      </c>
      <c r="I127" s="2270"/>
      <c r="J127" s="2513"/>
      <c r="K127" s="2153"/>
      <c r="L127" s="2375">
        <v>1</v>
      </c>
      <c r="M127" s="2276"/>
    </row>
    <row r="128" spans="1:24" ht="12" customHeight="1">
      <c r="A128" s="576" t="s">
        <v>331</v>
      </c>
      <c r="B128" s="2205" t="s">
        <v>81</v>
      </c>
      <c r="C128" s="2206"/>
      <c r="D128" s="2222" t="s">
        <v>942</v>
      </c>
      <c r="E128" s="2200"/>
      <c r="F128" s="2223"/>
      <c r="G128" s="169" t="s">
        <v>24</v>
      </c>
      <c r="H128" s="2145">
        <v>1</v>
      </c>
      <c r="I128" s="2270"/>
      <c r="J128" s="2513"/>
      <c r="K128" s="2153"/>
      <c r="L128" s="2269">
        <v>0.75</v>
      </c>
      <c r="M128" s="2146"/>
    </row>
    <row r="129" spans="1:21" ht="12" customHeight="1">
      <c r="A129" s="577" t="s">
        <v>648</v>
      </c>
      <c r="B129" s="2167" t="s">
        <v>290</v>
      </c>
      <c r="C129" s="2227"/>
      <c r="D129" s="2224" t="s">
        <v>943</v>
      </c>
      <c r="E129" s="2225"/>
      <c r="F129" s="2226"/>
      <c r="G129" s="224" t="s">
        <v>26</v>
      </c>
      <c r="H129" s="2228">
        <v>0</v>
      </c>
      <c r="I129" s="2177"/>
      <c r="J129" s="2653"/>
      <c r="K129" s="2155"/>
      <c r="L129" s="2178">
        <v>0.5</v>
      </c>
      <c r="M129" s="2217"/>
    </row>
    <row r="130" spans="1:21" ht="18" customHeight="1" thickBot="1">
      <c r="A130" s="2192" t="s">
        <v>291</v>
      </c>
      <c r="B130" s="2193"/>
      <c r="C130" s="2193"/>
      <c r="D130" s="2193"/>
      <c r="E130" s="2193"/>
      <c r="F130" s="2193"/>
      <c r="G130" s="2193"/>
      <c r="H130" s="2193"/>
      <c r="I130" s="2193"/>
      <c r="J130" s="2193"/>
      <c r="K130" s="2193"/>
      <c r="L130" s="2193"/>
      <c r="M130" s="2194"/>
    </row>
    <row r="131" spans="1:21" ht="12" customHeight="1" thickTop="1">
      <c r="A131" s="117" t="s">
        <v>185</v>
      </c>
      <c r="B131" s="2204" t="s">
        <v>404</v>
      </c>
      <c r="C131" s="2204"/>
      <c r="D131" s="133"/>
      <c r="E131" s="133"/>
      <c r="F131" s="228"/>
      <c r="G131" s="229"/>
      <c r="H131" s="2280" t="s">
        <v>82</v>
      </c>
      <c r="I131" s="2281"/>
      <c r="J131" s="2162" t="s">
        <v>53</v>
      </c>
      <c r="K131" s="2163"/>
      <c r="L131" s="2442" t="s">
        <v>53</v>
      </c>
      <c r="M131" s="2443"/>
      <c r="O131" s="230"/>
    </row>
    <row r="132" spans="1:21" ht="12" customHeight="1">
      <c r="A132" s="606" t="s">
        <v>655</v>
      </c>
      <c r="B132" s="231" t="s">
        <v>293</v>
      </c>
      <c r="C132" s="232" t="s">
        <v>209</v>
      </c>
      <c r="D132" s="233"/>
      <c r="E132" s="233"/>
      <c r="F132" s="234"/>
      <c r="G132" s="110" t="s">
        <v>14</v>
      </c>
      <c r="H132" s="2220">
        <v>6</v>
      </c>
      <c r="I132" s="2316"/>
      <c r="J132" s="2359" t="s">
        <v>219</v>
      </c>
      <c r="K132" s="2360"/>
      <c r="L132" s="2511" t="s">
        <v>219</v>
      </c>
      <c r="M132" s="2512"/>
    </row>
    <row r="133" spans="1:21" ht="12" customHeight="1">
      <c r="A133" s="575" t="s">
        <v>1048</v>
      </c>
      <c r="B133" s="140" t="s">
        <v>83</v>
      </c>
      <c r="C133" s="235" t="s">
        <v>84</v>
      </c>
      <c r="D133" s="236"/>
      <c r="E133" s="236"/>
      <c r="F133" s="237"/>
      <c r="G133" s="86" t="s">
        <v>15</v>
      </c>
      <c r="H133" s="2145">
        <v>5</v>
      </c>
      <c r="I133" s="2270"/>
      <c r="J133" s="2361"/>
      <c r="K133" s="2362"/>
      <c r="L133" s="2513"/>
      <c r="M133" s="2514"/>
    </row>
    <row r="134" spans="1:21" ht="12" customHeight="1">
      <c r="A134" s="575" t="s">
        <v>656</v>
      </c>
      <c r="B134" s="140" t="s">
        <v>85</v>
      </c>
      <c r="C134" s="235" t="s">
        <v>298</v>
      </c>
      <c r="D134" s="236"/>
      <c r="E134" s="236"/>
      <c r="F134" s="237"/>
      <c r="G134" s="401" t="s">
        <v>18</v>
      </c>
      <c r="H134" s="2145">
        <v>4</v>
      </c>
      <c r="I134" s="2270"/>
      <c r="J134" s="2361"/>
      <c r="K134" s="2362"/>
      <c r="L134" s="2513"/>
      <c r="M134" s="2514"/>
    </row>
    <row r="135" spans="1:21" ht="12" customHeight="1">
      <c r="A135" s="576" t="s">
        <v>657</v>
      </c>
      <c r="B135" s="140" t="s">
        <v>301</v>
      </c>
      <c r="C135" s="235" t="s">
        <v>299</v>
      </c>
      <c r="D135" s="236"/>
      <c r="E135" s="236"/>
      <c r="F135" s="237"/>
      <c r="G135" s="89" t="s">
        <v>20</v>
      </c>
      <c r="H135" s="2145">
        <v>1</v>
      </c>
      <c r="I135" s="2270"/>
      <c r="J135" s="2361"/>
      <c r="K135" s="2362"/>
      <c r="L135" s="2513"/>
      <c r="M135" s="2514"/>
    </row>
    <row r="136" spans="1:21" ht="12" customHeight="1" thickBot="1">
      <c r="A136" s="607" t="s">
        <v>658</v>
      </c>
      <c r="B136" s="238" t="s">
        <v>86</v>
      </c>
      <c r="C136" s="239" t="s">
        <v>300</v>
      </c>
      <c r="D136" s="240"/>
      <c r="E136" s="240"/>
      <c r="F136" s="241"/>
      <c r="G136" s="92" t="s">
        <v>22</v>
      </c>
      <c r="H136" s="2396">
        <v>0</v>
      </c>
      <c r="I136" s="2397"/>
      <c r="J136" s="2432"/>
      <c r="K136" s="2433"/>
      <c r="L136" s="2566"/>
      <c r="M136" s="2638"/>
    </row>
    <row r="137" spans="1:21" ht="12" customHeight="1" thickBot="1">
      <c r="A137" s="76"/>
      <c r="B137" s="196"/>
      <c r="C137" s="196"/>
      <c r="D137" s="196"/>
      <c r="E137" s="196"/>
      <c r="F137" s="242"/>
      <c r="G137" s="197"/>
      <c r="H137" s="111"/>
      <c r="I137" s="111"/>
      <c r="J137" s="242"/>
      <c r="K137" s="242"/>
      <c r="L137" s="242"/>
      <c r="M137" s="242"/>
    </row>
    <row r="138" spans="1:21" ht="12" customHeight="1">
      <c r="A138" s="79" t="s">
        <v>1098</v>
      </c>
      <c r="B138" s="2107" t="s">
        <v>93</v>
      </c>
      <c r="C138" s="2107"/>
      <c r="D138" s="2107"/>
      <c r="E138" s="2107"/>
      <c r="F138" s="2108"/>
      <c r="G138" s="2099" t="s">
        <v>241</v>
      </c>
      <c r="H138" s="2431" t="s">
        <v>362</v>
      </c>
      <c r="I138" s="2464"/>
      <c r="J138" s="2425" t="s">
        <v>0</v>
      </c>
      <c r="K138" s="2427"/>
      <c r="L138" s="2425" t="s">
        <v>1</v>
      </c>
      <c r="M138" s="2426"/>
    </row>
    <row r="139" spans="1:21" ht="12" customHeight="1">
      <c r="A139" s="80"/>
      <c r="B139" s="2404" t="s">
        <v>889</v>
      </c>
      <c r="C139" s="2404"/>
      <c r="D139" s="2632" t="s">
        <v>385</v>
      </c>
      <c r="E139" s="2632"/>
      <c r="F139" s="2411"/>
      <c r="G139" s="2100"/>
      <c r="H139" s="2101" t="s">
        <v>94</v>
      </c>
      <c r="I139" s="2632"/>
      <c r="J139" s="2560" t="s">
        <v>95</v>
      </c>
      <c r="K139" s="2390"/>
      <c r="L139" s="2238" t="s">
        <v>96</v>
      </c>
      <c r="M139" s="2239"/>
      <c r="N139" s="182"/>
      <c r="O139" s="2597" t="s">
        <v>187</v>
      </c>
      <c r="P139" s="2597"/>
      <c r="Q139" s="2597"/>
      <c r="R139" s="2597"/>
      <c r="S139" s="2597"/>
      <c r="T139" s="2597"/>
      <c r="U139" s="2597"/>
    </row>
    <row r="140" spans="1:21" ht="12" customHeight="1">
      <c r="A140" s="575" t="s">
        <v>562</v>
      </c>
      <c r="B140" s="183" t="s">
        <v>405</v>
      </c>
      <c r="C140" s="245" t="s">
        <v>261</v>
      </c>
      <c r="D140" s="2232" t="s">
        <v>214</v>
      </c>
      <c r="E140" s="2233"/>
      <c r="F140" s="2234"/>
      <c r="G140" s="185" t="s">
        <v>14</v>
      </c>
      <c r="H140" s="2440">
        <v>15</v>
      </c>
      <c r="I140" s="2441"/>
      <c r="J140" s="2636">
        <v>1</v>
      </c>
      <c r="K140" s="2637"/>
      <c r="L140" s="2434">
        <v>1</v>
      </c>
      <c r="M140" s="2435"/>
      <c r="N140" s="222"/>
      <c r="O140" s="2576" t="s">
        <v>211</v>
      </c>
      <c r="P140" s="2577"/>
      <c r="Q140" s="2577"/>
      <c r="R140" s="2577"/>
      <c r="S140" s="2577"/>
      <c r="T140" s="2577"/>
      <c r="U140" s="2578"/>
    </row>
    <row r="141" spans="1:21" ht="12" customHeight="1">
      <c r="A141" s="575" t="s">
        <v>389</v>
      </c>
      <c r="B141" s="246" t="s">
        <v>388</v>
      </c>
      <c r="C141" s="247" t="s">
        <v>256</v>
      </c>
      <c r="D141" s="2235"/>
      <c r="E141" s="2236"/>
      <c r="F141" s="2237"/>
      <c r="G141" s="185" t="s">
        <v>15</v>
      </c>
      <c r="H141" s="2145">
        <v>10</v>
      </c>
      <c r="I141" s="2270"/>
      <c r="J141" s="2174"/>
      <c r="K141" s="2175"/>
      <c r="L141" s="2436"/>
      <c r="M141" s="2437"/>
      <c r="N141" s="222" t="s">
        <v>519</v>
      </c>
      <c r="O141" s="2579"/>
      <c r="P141" s="2580"/>
      <c r="Q141" s="2580"/>
      <c r="R141" s="2580"/>
      <c r="S141" s="2580"/>
      <c r="T141" s="2580"/>
      <c r="U141" s="2581"/>
    </row>
    <row r="142" spans="1:21" ht="12" customHeight="1">
      <c r="A142" s="575" t="s">
        <v>336</v>
      </c>
      <c r="B142" s="167" t="s">
        <v>97</v>
      </c>
      <c r="C142" s="247" t="s">
        <v>252</v>
      </c>
      <c r="D142" s="2398" t="s">
        <v>250</v>
      </c>
      <c r="E142" s="2126"/>
      <c r="F142" s="2127"/>
      <c r="G142" s="169" t="s">
        <v>18</v>
      </c>
      <c r="H142" s="2409">
        <v>7</v>
      </c>
      <c r="I142" s="2410"/>
      <c r="J142" s="2269">
        <v>0.66</v>
      </c>
      <c r="K142" s="2270"/>
      <c r="L142" s="2438"/>
      <c r="M142" s="2439"/>
      <c r="N142" s="222"/>
      <c r="O142" s="2582"/>
      <c r="P142" s="2583"/>
      <c r="Q142" s="2583"/>
      <c r="R142" s="2583"/>
      <c r="S142" s="2583"/>
      <c r="T142" s="2583"/>
      <c r="U142" s="2584"/>
    </row>
    <row r="143" spans="1:21" ht="12" customHeight="1">
      <c r="A143" s="575" t="s">
        <v>335</v>
      </c>
      <c r="B143" s="167" t="s">
        <v>98</v>
      </c>
      <c r="C143" s="247" t="s">
        <v>253</v>
      </c>
      <c r="D143" s="2398" t="s">
        <v>251</v>
      </c>
      <c r="E143" s="2126"/>
      <c r="F143" s="2127"/>
      <c r="G143" s="169" t="s">
        <v>20</v>
      </c>
      <c r="H143" s="2409">
        <v>4</v>
      </c>
      <c r="I143" s="2410"/>
      <c r="J143" s="2269">
        <v>0.5</v>
      </c>
      <c r="K143" s="2270"/>
      <c r="L143" s="2174">
        <v>2.5</v>
      </c>
      <c r="M143" s="2662"/>
      <c r="N143" s="222" t="s">
        <v>519</v>
      </c>
      <c r="O143" s="2582" t="s">
        <v>212</v>
      </c>
      <c r="P143" s="2583"/>
      <c r="Q143" s="2583"/>
      <c r="R143" s="2583"/>
      <c r="S143" s="2583"/>
      <c r="T143" s="2583"/>
      <c r="U143" s="2584"/>
    </row>
    <row r="144" spans="1:21" ht="12" customHeight="1" thickBot="1">
      <c r="A144" s="575" t="s">
        <v>334</v>
      </c>
      <c r="B144" s="167" t="s">
        <v>260</v>
      </c>
      <c r="C144" s="2419" t="s">
        <v>257</v>
      </c>
      <c r="D144" s="2398"/>
      <c r="E144" s="2126"/>
      <c r="F144" s="2127"/>
      <c r="G144" s="169" t="s">
        <v>22</v>
      </c>
      <c r="H144" s="2654">
        <v>0</v>
      </c>
      <c r="I144" s="2655"/>
      <c r="J144" s="2269">
        <v>0.3</v>
      </c>
      <c r="K144" s="2270"/>
      <c r="L144" s="2269">
        <v>5</v>
      </c>
      <c r="M144" s="2146"/>
      <c r="N144" s="222" t="s">
        <v>519</v>
      </c>
      <c r="O144" s="2572" t="s">
        <v>213</v>
      </c>
      <c r="P144" s="2573"/>
      <c r="Q144" s="2573"/>
      <c r="R144" s="2574"/>
      <c r="S144" s="2574"/>
      <c r="T144" s="2574"/>
      <c r="U144" s="2575"/>
    </row>
    <row r="145" spans="1:33" ht="12" customHeight="1" thickTop="1">
      <c r="A145" s="576" t="s">
        <v>659</v>
      </c>
      <c r="B145" s="248" t="s">
        <v>259</v>
      </c>
      <c r="C145" s="2420"/>
      <c r="D145" s="2398" t="s">
        <v>215</v>
      </c>
      <c r="E145" s="2126"/>
      <c r="F145" s="2127"/>
      <c r="G145" s="169" t="s">
        <v>24</v>
      </c>
      <c r="H145" s="2656"/>
      <c r="I145" s="2175"/>
      <c r="J145" s="2269">
        <v>0.15</v>
      </c>
      <c r="K145" s="2270"/>
      <c r="L145" s="609">
        <v>5</v>
      </c>
      <c r="M145" s="2412" t="s">
        <v>587</v>
      </c>
      <c r="N145" s="222" t="s">
        <v>519</v>
      </c>
      <c r="O145" s="249" t="s">
        <v>255</v>
      </c>
      <c r="P145" s="2694" t="s">
        <v>715</v>
      </c>
      <c r="Q145" s="2695"/>
    </row>
    <row r="146" spans="1:33" ht="12" customHeight="1">
      <c r="A146" s="605" t="s">
        <v>660</v>
      </c>
      <c r="B146" s="2423" t="s">
        <v>390</v>
      </c>
      <c r="C146" s="2227"/>
      <c r="D146" s="2414"/>
      <c r="E146" s="2415"/>
      <c r="F146" s="2416"/>
      <c r="G146" s="86" t="s">
        <v>26</v>
      </c>
      <c r="H146" s="2417" t="s">
        <v>258</v>
      </c>
      <c r="I146" s="2418"/>
      <c r="J146" s="2424">
        <v>0.08</v>
      </c>
      <c r="K146" s="2424"/>
      <c r="L146" s="610">
        <v>5</v>
      </c>
      <c r="M146" s="2413"/>
      <c r="N146" s="222" t="s">
        <v>519</v>
      </c>
      <c r="O146" s="250" t="s">
        <v>254</v>
      </c>
      <c r="P146" s="2696"/>
      <c r="Q146" s="2697"/>
    </row>
    <row r="147" spans="1:33" ht="11.25" customHeight="1" thickBot="1">
      <c r="A147" s="2428" t="s">
        <v>376</v>
      </c>
      <c r="B147" s="2429"/>
      <c r="C147" s="2429"/>
      <c r="D147" s="2429"/>
      <c r="E147" s="2429"/>
      <c r="F147" s="2429"/>
      <c r="G147" s="2429"/>
      <c r="H147" s="2429"/>
      <c r="I147" s="2429"/>
      <c r="J147" s="2429"/>
      <c r="K147" s="2429"/>
      <c r="L147" s="2429"/>
      <c r="M147" s="2430"/>
      <c r="O147" s="251"/>
    </row>
    <row r="148" spans="1:33" ht="12" customHeight="1">
      <c r="A148" s="794"/>
      <c r="B148" s="794"/>
      <c r="C148" s="794"/>
      <c r="D148" s="794"/>
      <c r="E148" s="794"/>
      <c r="F148" s="794"/>
      <c r="G148" s="794"/>
      <c r="H148" s="794"/>
      <c r="I148" s="794"/>
      <c r="J148" s="794"/>
      <c r="K148" s="794"/>
      <c r="L148" s="794"/>
      <c r="M148" s="794"/>
      <c r="O148" s="442"/>
      <c r="Q148" s="252"/>
      <c r="R148" s="253"/>
      <c r="S148" s="253"/>
      <c r="T148" s="252"/>
      <c r="U148" s="252"/>
      <c r="V148" s="252"/>
      <c r="AG148" s="574"/>
    </row>
    <row r="149" spans="1:33" ht="13.5" customHeight="1" thickBot="1">
      <c r="A149" s="76"/>
      <c r="B149" s="289"/>
      <c r="C149" s="289"/>
      <c r="D149" s="289"/>
      <c r="E149" s="289"/>
      <c r="F149" s="289"/>
      <c r="G149" s="289"/>
      <c r="H149" s="289"/>
      <c r="I149" s="289"/>
      <c r="J149" s="289"/>
      <c r="K149" s="289"/>
      <c r="L149" s="289"/>
      <c r="M149" s="289"/>
      <c r="Q149" s="2626" t="s">
        <v>277</v>
      </c>
      <c r="R149" s="2627"/>
      <c r="S149" s="2627"/>
      <c r="T149" s="2627"/>
      <c r="U149" s="2627"/>
      <c r="V149" s="2628"/>
    </row>
    <row r="150" spans="1:33" ht="12" customHeight="1">
      <c r="A150" s="79" t="s">
        <v>1099</v>
      </c>
      <c r="B150" s="2107" t="s">
        <v>190</v>
      </c>
      <c r="C150" s="2107"/>
      <c r="D150" s="2107"/>
      <c r="E150" s="2107"/>
      <c r="F150" s="2108"/>
      <c r="G150" s="2099" t="s">
        <v>241</v>
      </c>
      <c r="H150" s="2431" t="s">
        <v>362</v>
      </c>
      <c r="I150" s="2427"/>
      <c r="J150" s="2425" t="s">
        <v>0</v>
      </c>
      <c r="K150" s="2427"/>
      <c r="L150" s="2425" t="s">
        <v>1</v>
      </c>
      <c r="M150" s="2426"/>
      <c r="O150" s="2641" t="s">
        <v>273</v>
      </c>
      <c r="Q150" s="2629"/>
      <c r="R150" s="2630"/>
      <c r="S150" s="2630"/>
      <c r="T150" s="2630"/>
      <c r="U150" s="2630"/>
      <c r="V150" s="2631"/>
    </row>
    <row r="151" spans="1:33" ht="12" customHeight="1">
      <c r="A151" s="80" t="s">
        <v>188</v>
      </c>
      <c r="B151" s="2230" t="s">
        <v>192</v>
      </c>
      <c r="C151" s="2230"/>
      <c r="D151" s="2230"/>
      <c r="E151" s="2230"/>
      <c r="F151" s="2231"/>
      <c r="G151" s="2100"/>
      <c r="H151" s="2101" t="s">
        <v>53</v>
      </c>
      <c r="I151" s="2102"/>
      <c r="J151" s="2103" t="s">
        <v>1188</v>
      </c>
      <c r="K151" s="2102"/>
      <c r="L151" s="2103" t="s">
        <v>197</v>
      </c>
      <c r="M151" s="2314"/>
      <c r="N151" s="182"/>
      <c r="O151" s="2642"/>
      <c r="Q151" s="2614" t="s">
        <v>278</v>
      </c>
      <c r="R151" s="2615"/>
      <c r="S151" s="2615"/>
      <c r="T151" s="2615"/>
      <c r="U151" s="2615"/>
      <c r="V151" s="2616"/>
      <c r="W151" s="254"/>
      <c r="X151" s="254"/>
      <c r="Y151" s="254"/>
      <c r="Z151" s="255"/>
    </row>
    <row r="152" spans="1:33" ht="12" customHeight="1">
      <c r="A152" s="603" t="s">
        <v>661</v>
      </c>
      <c r="B152" s="2619" t="s">
        <v>343</v>
      </c>
      <c r="C152" s="2169" t="s">
        <v>914</v>
      </c>
      <c r="D152" s="2170"/>
      <c r="E152" s="2170"/>
      <c r="F152" s="2171"/>
      <c r="G152" s="340" t="s">
        <v>14</v>
      </c>
      <c r="H152" s="2150" t="s">
        <v>219</v>
      </c>
      <c r="I152" s="2151"/>
      <c r="J152" s="2636">
        <v>2.5</v>
      </c>
      <c r="K152" s="2637"/>
      <c r="L152" s="2315">
        <v>0.1</v>
      </c>
      <c r="M152" s="2394"/>
      <c r="O152" s="2317" t="s">
        <v>235</v>
      </c>
      <c r="Q152" s="2698" t="s">
        <v>263</v>
      </c>
      <c r="R152" s="2286"/>
      <c r="S152" s="2285" t="s">
        <v>276</v>
      </c>
      <c r="T152" s="2286"/>
      <c r="U152" s="2285" t="s">
        <v>264</v>
      </c>
      <c r="V152" s="2633"/>
      <c r="W152" s="256"/>
      <c r="X152" s="256"/>
      <c r="Y152" s="256"/>
      <c r="Z152" s="2284"/>
      <c r="AA152" s="2284"/>
      <c r="AB152" s="2284"/>
      <c r="AC152" s="256"/>
    </row>
    <row r="153" spans="1:33" ht="12" customHeight="1">
      <c r="A153" s="600" t="s">
        <v>339</v>
      </c>
      <c r="B153" s="2620"/>
      <c r="C153" s="2180" t="s">
        <v>913</v>
      </c>
      <c r="D153" s="2181"/>
      <c r="E153" s="2181"/>
      <c r="F153" s="2182"/>
      <c r="G153" s="337" t="s">
        <v>15</v>
      </c>
      <c r="H153" s="2152"/>
      <c r="I153" s="2153"/>
      <c r="J153" s="2174"/>
      <c r="K153" s="2175"/>
      <c r="L153" s="2269">
        <v>0.5</v>
      </c>
      <c r="M153" s="2146"/>
      <c r="N153" s="135"/>
      <c r="O153" s="2318"/>
      <c r="Q153" s="2699"/>
      <c r="R153" s="2288"/>
      <c r="S153" s="2287"/>
      <c r="T153" s="2288"/>
      <c r="U153" s="2287"/>
      <c r="V153" s="2634"/>
      <c r="W153" s="257"/>
      <c r="X153" s="258"/>
      <c r="Y153" s="259"/>
      <c r="Z153" s="260"/>
      <c r="AA153" s="257"/>
      <c r="AB153" s="261"/>
      <c r="AC153" s="262"/>
    </row>
    <row r="154" spans="1:33" ht="12" customHeight="1">
      <c r="A154" s="601" t="s">
        <v>340</v>
      </c>
      <c r="B154" s="2620"/>
      <c r="C154" s="2180" t="s">
        <v>151</v>
      </c>
      <c r="D154" s="2181"/>
      <c r="E154" s="2181"/>
      <c r="F154" s="2182"/>
      <c r="G154" s="337" t="s">
        <v>18</v>
      </c>
      <c r="H154" s="2152"/>
      <c r="I154" s="2153"/>
      <c r="J154" s="2269">
        <v>1</v>
      </c>
      <c r="K154" s="2270"/>
      <c r="L154" s="2375">
        <v>1</v>
      </c>
      <c r="M154" s="2276"/>
      <c r="N154" s="101"/>
      <c r="O154" s="263">
        <v>1</v>
      </c>
      <c r="P154" s="264"/>
      <c r="Q154" s="2700"/>
      <c r="R154" s="2290"/>
      <c r="S154" s="2289"/>
      <c r="T154" s="2290"/>
      <c r="U154" s="2289"/>
      <c r="V154" s="2635"/>
      <c r="W154" s="265"/>
      <c r="X154" s="258"/>
      <c r="Y154" s="259"/>
      <c r="Z154" s="295" t="s">
        <v>831</v>
      </c>
      <c r="AA154" s="266"/>
      <c r="AB154" s="59"/>
      <c r="AC154" s="262"/>
    </row>
    <row r="155" spans="1:33" ht="12" customHeight="1">
      <c r="A155" s="604" t="s">
        <v>341</v>
      </c>
      <c r="B155" s="2621"/>
      <c r="C155" s="2095" t="s">
        <v>152</v>
      </c>
      <c r="D155" s="2166"/>
      <c r="E155" s="2166"/>
      <c r="F155" s="2623"/>
      <c r="G155" s="339" t="s">
        <v>20</v>
      </c>
      <c r="H155" s="2154"/>
      <c r="I155" s="2155"/>
      <c r="J155" s="2176">
        <v>0.67</v>
      </c>
      <c r="K155" s="2177"/>
      <c r="L155" s="2176">
        <v>1.5</v>
      </c>
      <c r="M155" s="2622"/>
      <c r="N155" s="159"/>
      <c r="O155" s="64" t="s">
        <v>141</v>
      </c>
      <c r="Q155" s="2701">
        <v>0.5</v>
      </c>
      <c r="R155" s="2702"/>
      <c r="S155" s="2309">
        <v>1</v>
      </c>
      <c r="T155" s="2310"/>
      <c r="U155" s="2309">
        <v>2</v>
      </c>
      <c r="V155" s="2617"/>
      <c r="W155" s="61" t="s">
        <v>265</v>
      </c>
      <c r="X155" s="258"/>
      <c r="Y155" s="259"/>
      <c r="Z155" s="260"/>
      <c r="AA155" s="266"/>
      <c r="AB155" s="59"/>
      <c r="AC155" s="262"/>
    </row>
    <row r="156" spans="1:33" ht="12" customHeight="1" thickBot="1">
      <c r="A156" s="426"/>
      <c r="B156" s="65" t="s">
        <v>1104</v>
      </c>
      <c r="C156" s="65"/>
      <c r="D156" s="65"/>
      <c r="E156" s="65"/>
      <c r="F156" s="446"/>
      <c r="G156" s="447"/>
      <c r="H156" s="440"/>
      <c r="I156" s="441"/>
      <c r="J156" s="449"/>
      <c r="K156" s="450"/>
      <c r="L156" s="449"/>
      <c r="M156" s="451"/>
      <c r="N156" s="284"/>
      <c r="O156" s="358"/>
      <c r="P156" s="448"/>
      <c r="Q156" s="2307">
        <v>2</v>
      </c>
      <c r="R156" s="2308"/>
      <c r="S156" s="2311">
        <v>1</v>
      </c>
      <c r="T156" s="2308"/>
      <c r="U156" s="2311">
        <v>0.5</v>
      </c>
      <c r="V156" s="2618"/>
      <c r="W156" s="61" t="s">
        <v>266</v>
      </c>
      <c r="X156" s="258"/>
      <c r="Y156" s="259"/>
      <c r="Z156" s="260"/>
      <c r="AA156" s="266"/>
      <c r="AB156" s="59"/>
      <c r="AC156" s="262"/>
    </row>
    <row r="157" spans="1:33" ht="12" customHeight="1" thickTop="1">
      <c r="A157" s="117" t="s">
        <v>189</v>
      </c>
      <c r="B157" s="2385" t="s">
        <v>191</v>
      </c>
      <c r="C157" s="2385"/>
      <c r="D157" s="2385"/>
      <c r="E157" s="2385"/>
      <c r="F157" s="2386"/>
      <c r="G157" s="267"/>
      <c r="H157" s="2160" t="s">
        <v>53</v>
      </c>
      <c r="I157" s="2161"/>
      <c r="J157" s="2421" t="s">
        <v>1188</v>
      </c>
      <c r="K157" s="2422"/>
      <c r="L157" s="2421" t="s">
        <v>227</v>
      </c>
      <c r="M157" s="2159"/>
      <c r="N157" s="182"/>
      <c r="O157" s="309"/>
      <c r="X157" s="258"/>
      <c r="Y157" s="259"/>
      <c r="Z157" s="260"/>
      <c r="AA157" s="266"/>
      <c r="AB157" s="59"/>
      <c r="AC157" s="262"/>
    </row>
    <row r="158" spans="1:33" ht="12" customHeight="1">
      <c r="A158" s="600" t="s">
        <v>666</v>
      </c>
      <c r="B158" s="2624" t="s">
        <v>262</v>
      </c>
      <c r="C158" s="268" t="s">
        <v>228</v>
      </c>
      <c r="D158" s="2169" t="s">
        <v>229</v>
      </c>
      <c r="E158" s="2170"/>
      <c r="F158" s="2171"/>
      <c r="G158" s="185" t="s">
        <v>22</v>
      </c>
      <c r="H158" s="2150" t="s">
        <v>219</v>
      </c>
      <c r="I158" s="2151"/>
      <c r="J158" s="2174">
        <v>25</v>
      </c>
      <c r="K158" s="2175"/>
      <c r="L158" s="269" t="s">
        <v>507</v>
      </c>
      <c r="M158" s="611">
        <v>0.75</v>
      </c>
      <c r="O158" s="270" t="s">
        <v>144</v>
      </c>
      <c r="V158" s="265"/>
      <c r="W158" s="258"/>
      <c r="X158" s="259"/>
      <c r="Z158" s="260"/>
      <c r="AA158" s="266"/>
      <c r="AB158" s="59"/>
      <c r="AC158" s="262"/>
    </row>
    <row r="159" spans="1:33" ht="12" customHeight="1">
      <c r="A159" s="600" t="s">
        <v>665</v>
      </c>
      <c r="B159" s="2625"/>
      <c r="C159" s="271" t="s">
        <v>230</v>
      </c>
      <c r="D159" s="2180" t="s">
        <v>231</v>
      </c>
      <c r="E159" s="2181"/>
      <c r="F159" s="2182"/>
      <c r="G159" s="169" t="s">
        <v>24</v>
      </c>
      <c r="H159" s="2152"/>
      <c r="I159" s="2153"/>
      <c r="J159" s="2269">
        <v>100</v>
      </c>
      <c r="K159" s="2270"/>
      <c r="L159" s="272" t="s">
        <v>507</v>
      </c>
      <c r="M159" s="612">
        <v>0.4</v>
      </c>
      <c r="O159" s="86" t="s">
        <v>142</v>
      </c>
      <c r="V159" s="265"/>
      <c r="W159" s="258"/>
      <c r="X159" s="259"/>
      <c r="Z159" s="260"/>
      <c r="AA159" s="266"/>
      <c r="AB159" s="59"/>
      <c r="AC159" s="262"/>
    </row>
    <row r="160" spans="1:33" ht="12" customHeight="1">
      <c r="A160" s="600" t="s">
        <v>487</v>
      </c>
      <c r="B160" s="2094"/>
      <c r="C160" s="2095" t="s">
        <v>100</v>
      </c>
      <c r="D160" s="2166"/>
      <c r="E160" s="2166"/>
      <c r="F160" s="2623"/>
      <c r="G160" s="224" t="s">
        <v>26</v>
      </c>
      <c r="H160" s="2152"/>
      <c r="I160" s="2153"/>
      <c r="J160" s="2176">
        <v>300</v>
      </c>
      <c r="K160" s="2177"/>
      <c r="L160" s="273" t="s">
        <v>507</v>
      </c>
      <c r="M160" s="613">
        <v>0.15</v>
      </c>
      <c r="N160" s="221"/>
      <c r="O160" s="274" t="s">
        <v>143</v>
      </c>
      <c r="R160" t="s">
        <v>491</v>
      </c>
      <c r="S160"/>
      <c r="T160"/>
      <c r="U160"/>
      <c r="V160"/>
      <c r="W160"/>
      <c r="X160"/>
      <c r="Y160" s="275"/>
      <c r="Z160" s="276"/>
      <c r="AA160" s="277"/>
      <c r="AB160" s="278"/>
      <c r="AC160" s="61"/>
      <c r="AD160" s="275"/>
      <c r="AE160" s="278"/>
      <c r="AF160" s="279"/>
    </row>
    <row r="161" spans="1:41" ht="12" customHeight="1">
      <c r="A161" s="601" t="s">
        <v>399</v>
      </c>
      <c r="B161" s="2092" t="s">
        <v>182</v>
      </c>
      <c r="C161" s="2093"/>
      <c r="D161" s="2169" t="s">
        <v>101</v>
      </c>
      <c r="E161" s="2170"/>
      <c r="F161" s="2171"/>
      <c r="G161" s="185" t="s">
        <v>49</v>
      </c>
      <c r="H161" s="2152"/>
      <c r="I161" s="2153"/>
      <c r="J161" s="2174">
        <v>10</v>
      </c>
      <c r="K161" s="2175"/>
      <c r="L161" s="280" t="s">
        <v>507</v>
      </c>
      <c r="M161" s="614">
        <v>0.75</v>
      </c>
      <c r="O161" s="281" t="s">
        <v>145</v>
      </c>
      <c r="Q161" s="2096" t="s">
        <v>542</v>
      </c>
      <c r="R161" s="2097"/>
      <c r="S161" s="2098"/>
      <c r="T161" s="2312" t="s">
        <v>492</v>
      </c>
      <c r="U161" s="2301"/>
      <c r="V161" s="2297" t="s">
        <v>493</v>
      </c>
      <c r="W161" s="2301"/>
      <c r="X161" s="2297" t="s">
        <v>494</v>
      </c>
      <c r="Y161" s="2301"/>
      <c r="Z161" s="2297" t="s">
        <v>495</v>
      </c>
      <c r="AA161" s="2301"/>
      <c r="AB161" s="2297" t="s">
        <v>496</v>
      </c>
      <c r="AC161" s="2298"/>
      <c r="AD161" s="2325" t="s">
        <v>497</v>
      </c>
      <c r="AE161" s="2326"/>
      <c r="AF161" s="2327"/>
      <c r="AG161" s="61"/>
    </row>
    <row r="162" spans="1:41" ht="12" customHeight="1">
      <c r="A162" s="602" t="s">
        <v>662</v>
      </c>
      <c r="B162" s="2094"/>
      <c r="C162" s="2095"/>
      <c r="D162" s="2166" t="s">
        <v>102</v>
      </c>
      <c r="E162" s="2167"/>
      <c r="F162" s="2168"/>
      <c r="G162" s="224" t="s">
        <v>51</v>
      </c>
      <c r="H162" s="2154"/>
      <c r="I162" s="2155"/>
      <c r="J162" s="2178">
        <v>20</v>
      </c>
      <c r="K162" s="2179"/>
      <c r="L162" s="273" t="s">
        <v>507</v>
      </c>
      <c r="M162" s="615">
        <v>0.5</v>
      </c>
      <c r="N162" s="182"/>
      <c r="O162" s="282" t="s">
        <v>146</v>
      </c>
      <c r="Q162" s="2304" t="s">
        <v>504</v>
      </c>
      <c r="R162" s="2305"/>
      <c r="S162" s="2306"/>
      <c r="T162" s="2302" t="s">
        <v>498</v>
      </c>
      <c r="U162" s="2303"/>
      <c r="V162" s="2299" t="s">
        <v>499</v>
      </c>
      <c r="W162" s="2303"/>
      <c r="X162" s="2299" t="s">
        <v>500</v>
      </c>
      <c r="Y162" s="2303"/>
      <c r="Z162" s="2299" t="s">
        <v>501</v>
      </c>
      <c r="AA162" s="2303"/>
      <c r="AB162" s="2299" t="s">
        <v>502</v>
      </c>
      <c r="AC162" s="2300"/>
      <c r="AD162" s="2328" t="s">
        <v>503</v>
      </c>
      <c r="AE162" s="2329"/>
      <c r="AF162" s="2330"/>
      <c r="AG162" s="61"/>
    </row>
    <row r="163" spans="1:41" ht="12" customHeight="1" thickBot="1">
      <c r="A163" s="283"/>
      <c r="B163" s="2172" t="s">
        <v>565</v>
      </c>
      <c r="C163" s="2172"/>
      <c r="D163" s="2172"/>
      <c r="E163" s="2172"/>
      <c r="F163" s="2172"/>
      <c r="G163" s="2172"/>
      <c r="H163" s="2172"/>
      <c r="I163" s="2172"/>
      <c r="J163" s="2172"/>
      <c r="K163" s="2172"/>
      <c r="L163" s="2172"/>
      <c r="M163" s="2173"/>
      <c r="N163" s="284"/>
      <c r="R163" s="285"/>
      <c r="S163" s="285"/>
      <c r="T163" s="285"/>
      <c r="V163" s="286"/>
      <c r="W163" s="287"/>
      <c r="X163" s="259"/>
      <c r="Z163" s="262"/>
    </row>
    <row r="164" spans="1:41" ht="10.5" customHeight="1" thickBot="1">
      <c r="A164" s="288"/>
      <c r="B164" s="65"/>
      <c r="C164" s="65"/>
      <c r="D164" s="65"/>
      <c r="E164" s="65"/>
      <c r="F164" s="289"/>
      <c r="G164" s="197"/>
      <c r="O164" s="403" t="s">
        <v>848</v>
      </c>
      <c r="P164" s="290"/>
      <c r="Q164"/>
      <c r="R164"/>
      <c r="S164"/>
      <c r="T164"/>
      <c r="U164" s="39"/>
      <c r="V164" s="252"/>
      <c r="W164" s="252"/>
      <c r="X164" s="252"/>
      <c r="Z164" s="62"/>
      <c r="AA164" s="62"/>
      <c r="AB164" s="62"/>
      <c r="AC164" s="254"/>
      <c r="AD164" s="493"/>
      <c r="AE164" s="493"/>
    </row>
    <row r="165" spans="1:41" ht="12" customHeight="1">
      <c r="A165" s="79" t="s">
        <v>1100</v>
      </c>
      <c r="B165" s="2107" t="s">
        <v>533</v>
      </c>
      <c r="C165" s="2107"/>
      <c r="D165" s="2107"/>
      <c r="E165" s="2107"/>
      <c r="F165" s="2108"/>
      <c r="G165" s="2099" t="s">
        <v>241</v>
      </c>
      <c r="H165" s="2296" t="s">
        <v>364</v>
      </c>
      <c r="I165" s="2104"/>
      <c r="J165" s="2104" t="s">
        <v>0</v>
      </c>
      <c r="K165" s="2104"/>
      <c r="L165" s="2104" t="s">
        <v>1</v>
      </c>
      <c r="M165" s="2313"/>
      <c r="O165" s="2086" t="s">
        <v>1149</v>
      </c>
      <c r="P165" s="2087"/>
      <c r="Q165" s="2087"/>
      <c r="R165" s="2088"/>
      <c r="S165" s="2319" t="s">
        <v>1150</v>
      </c>
      <c r="T165" s="2320"/>
      <c r="U165" s="2717" t="s">
        <v>1037</v>
      </c>
      <c r="V165" s="2718"/>
      <c r="W165" s="2718"/>
      <c r="X165" s="2719"/>
      <c r="Y165" s="2714" t="s">
        <v>505</v>
      </c>
      <c r="Z165" s="2715"/>
      <c r="AA165" s="2715"/>
      <c r="AB165" s="2715"/>
      <c r="AC165" s="2715"/>
      <c r="AD165" s="2716"/>
      <c r="AE165" s="2730" t="s">
        <v>1032</v>
      </c>
      <c r="AF165" s="2731"/>
      <c r="AG165" s="2705" t="s">
        <v>545</v>
      </c>
      <c r="AH165" s="2706"/>
      <c r="AN165" s="71"/>
      <c r="AO165" s="71"/>
    </row>
    <row r="166" spans="1:41" ht="12" customHeight="1">
      <c r="A166" s="80" t="s">
        <v>203</v>
      </c>
      <c r="B166" s="2105" t="s">
        <v>194</v>
      </c>
      <c r="C166" s="2105"/>
      <c r="D166" s="2105"/>
      <c r="E166" s="2105"/>
      <c r="F166" s="2106"/>
      <c r="G166" s="2100"/>
      <c r="H166" s="2101" t="s">
        <v>53</v>
      </c>
      <c r="I166" s="2102"/>
      <c r="J166" s="2103" t="s">
        <v>1025</v>
      </c>
      <c r="K166" s="2102"/>
      <c r="L166" s="2103" t="s">
        <v>509</v>
      </c>
      <c r="M166" s="2314"/>
      <c r="O166" s="2089"/>
      <c r="P166" s="2090"/>
      <c r="Q166" s="2090"/>
      <c r="R166" s="2091"/>
      <c r="S166" s="2078" t="s">
        <v>1148</v>
      </c>
      <c r="T166" s="2079"/>
      <c r="U166" s="2707" t="s">
        <v>506</v>
      </c>
      <c r="V166" s="2090"/>
      <c r="W166" s="2090"/>
      <c r="X166" s="2724"/>
      <c r="Y166" s="2722" t="s">
        <v>1034</v>
      </c>
      <c r="Z166" s="2723"/>
      <c r="AA166" s="2720" t="s">
        <v>1035</v>
      </c>
      <c r="AB166" s="2721"/>
      <c r="AC166" s="2734" t="s">
        <v>1036</v>
      </c>
      <c r="AD166" s="2735"/>
      <c r="AE166" s="2732" t="s">
        <v>1033</v>
      </c>
      <c r="AF166" s="2733"/>
      <c r="AG166" s="2707" t="s">
        <v>508</v>
      </c>
      <c r="AH166" s="2091"/>
      <c r="AJ166" s="266"/>
      <c r="AL166" s="71"/>
      <c r="AM166" s="71"/>
    </row>
    <row r="167" spans="1:41" ht="12" customHeight="1">
      <c r="A167" s="580" t="s">
        <v>698</v>
      </c>
      <c r="B167" s="352" t="s">
        <v>697</v>
      </c>
      <c r="C167" s="183" t="s">
        <v>1158</v>
      </c>
      <c r="D167" s="82"/>
      <c r="E167" s="82"/>
      <c r="F167" s="340"/>
      <c r="G167" s="227" t="s">
        <v>24</v>
      </c>
      <c r="H167" s="2150" t="s">
        <v>220</v>
      </c>
      <c r="I167" s="2151"/>
      <c r="J167" s="2315">
        <v>5</v>
      </c>
      <c r="K167" s="2316"/>
      <c r="L167" s="269" t="s">
        <v>507</v>
      </c>
      <c r="M167" s="291">
        <f>AG167</f>
        <v>5.5731187429099383E-2</v>
      </c>
      <c r="O167" s="814" t="str">
        <f>B167</f>
        <v>Unknown type</v>
      </c>
      <c r="P167" s="816" t="str">
        <f t="shared" ref="P167:P170" si="5">C167</f>
        <v>assumed altered joints</v>
      </c>
      <c r="Q167" s="817"/>
      <c r="R167" s="815" t="s">
        <v>24</v>
      </c>
      <c r="S167" s="2080">
        <v>50</v>
      </c>
      <c r="T167" s="2081"/>
      <c r="U167" s="2345">
        <v>0.25</v>
      </c>
      <c r="V167" s="2356"/>
      <c r="W167" s="2356"/>
      <c r="X167" s="2346"/>
      <c r="Y167" s="2345">
        <v>1E-4</v>
      </c>
      <c r="Z167" s="2346"/>
      <c r="AA167" s="2728">
        <f>Y167*1000</f>
        <v>0.1</v>
      </c>
      <c r="AB167" s="2729"/>
      <c r="AC167" s="2337">
        <f>Y167^0.33</f>
        <v>4.7863009232263845E-2</v>
      </c>
      <c r="AD167" s="2338"/>
      <c r="AE167" s="2321">
        <v>1</v>
      </c>
      <c r="AF167" s="2322"/>
      <c r="AG167" s="2708">
        <f>S167*0.2*(U167^0.5)*((Y167^(0.37*U167^(-0.2))*AE167))</f>
        <v>5.5731187429099383E-2</v>
      </c>
      <c r="AH167" s="2709"/>
      <c r="AI167" s="292"/>
      <c r="AJ167" s="71"/>
      <c r="AK167" s="71"/>
      <c r="AL167" s="71"/>
      <c r="AM167" s="71"/>
    </row>
    <row r="168" spans="1:41" ht="12" customHeight="1">
      <c r="A168" s="580" t="s">
        <v>320</v>
      </c>
      <c r="B168" s="190" t="s">
        <v>1156</v>
      </c>
      <c r="C168" s="69" t="s">
        <v>1155</v>
      </c>
      <c r="D168" s="293"/>
      <c r="E168" s="336"/>
      <c r="F168" s="337"/>
      <c r="G168" s="169" t="s">
        <v>26</v>
      </c>
      <c r="H168" s="2152"/>
      <c r="I168" s="2153"/>
      <c r="J168" s="2269">
        <v>5</v>
      </c>
      <c r="K168" s="2270"/>
      <c r="L168" s="280" t="s">
        <v>507</v>
      </c>
      <c r="M168" s="333">
        <f>AG168</f>
        <v>0.4966966822238868</v>
      </c>
      <c r="O168" s="190" t="str">
        <f>B168</f>
        <v xml:space="preserve">Crushed zone, </v>
      </c>
      <c r="P168" s="816" t="str">
        <f t="shared" si="5"/>
        <v>clay-free</v>
      </c>
      <c r="Q168" s="818"/>
      <c r="R168" s="812" t="s">
        <v>26</v>
      </c>
      <c r="S168" s="2082">
        <v>75</v>
      </c>
      <c r="T168" s="2083"/>
      <c r="U168" s="2725">
        <v>1</v>
      </c>
      <c r="V168" s="2726"/>
      <c r="W168" s="2726"/>
      <c r="X168" s="2458"/>
      <c r="Y168" s="2725">
        <v>1E-4</v>
      </c>
      <c r="Z168" s="2458"/>
      <c r="AA168" s="2333">
        <f>Y168*1000</f>
        <v>0.1</v>
      </c>
      <c r="AB168" s="2334"/>
      <c r="AC168" s="2736">
        <f>Y168^0.33</f>
        <v>4.7863009232263845E-2</v>
      </c>
      <c r="AD168" s="2737"/>
      <c r="AE168" s="2323">
        <v>1</v>
      </c>
      <c r="AF168" s="2324"/>
      <c r="AG168" s="2710">
        <f>S168*0.2*(U168^0.5)*((Y168^(0.37*U168^(-0.2))*AE168))</f>
        <v>0.4966966822238868</v>
      </c>
      <c r="AH168" s="2711"/>
      <c r="AI168" s="292"/>
      <c r="AJ168" s="71"/>
      <c r="AK168" s="71"/>
      <c r="AL168" s="71"/>
      <c r="AM168" s="71"/>
    </row>
    <row r="169" spans="1:41" ht="12" customHeight="1">
      <c r="A169" s="580" t="s">
        <v>532</v>
      </c>
      <c r="B169" s="190" t="s">
        <v>1156</v>
      </c>
      <c r="C169" s="69" t="s">
        <v>1157</v>
      </c>
      <c r="D169" s="293"/>
      <c r="E169" s="336"/>
      <c r="F169" s="337"/>
      <c r="G169" s="169" t="s">
        <v>49</v>
      </c>
      <c r="H169" s="2152"/>
      <c r="I169" s="2153"/>
      <c r="J169" s="2269">
        <v>7.5</v>
      </c>
      <c r="K169" s="2270"/>
      <c r="L169" s="272" t="s">
        <v>507</v>
      </c>
      <c r="M169" s="495">
        <f>AG169</f>
        <v>4.1633279476522697E-3</v>
      </c>
      <c r="O169" s="190" t="str">
        <f>B169</f>
        <v xml:space="preserve">Crushed zone, </v>
      </c>
      <c r="P169" s="816" t="str">
        <f t="shared" si="5"/>
        <v>clayey joints</v>
      </c>
      <c r="Q169" s="819"/>
      <c r="R169" s="812" t="s">
        <v>49</v>
      </c>
      <c r="S169" s="2082">
        <v>50</v>
      </c>
      <c r="T169" s="2083"/>
      <c r="U169" s="2727">
        <v>0.125</v>
      </c>
      <c r="V169" s="2349"/>
      <c r="W169" s="2349"/>
      <c r="X169" s="2279"/>
      <c r="Y169" s="2727">
        <v>1.0000000000000001E-5</v>
      </c>
      <c r="Z169" s="2279"/>
      <c r="AA169" s="2333">
        <f>Y169*1000</f>
        <v>0.01</v>
      </c>
      <c r="AB169" s="2334"/>
      <c r="AC169" s="2736">
        <f>Y169^0.33</f>
        <v>2.2387211385683392E-2</v>
      </c>
      <c r="AD169" s="2737"/>
      <c r="AE169" s="2323">
        <v>0.75</v>
      </c>
      <c r="AF169" s="2324"/>
      <c r="AG169" s="2710">
        <f>S169*0.2*(U169^0.5)*((Y169^(0.37*U169^(-0.2))*AE169))</f>
        <v>4.1633279476522697E-3</v>
      </c>
      <c r="AH169" s="2711"/>
      <c r="AI169" s="292"/>
      <c r="AJ169" s="71"/>
      <c r="AK169" s="71"/>
      <c r="AL169" s="71"/>
      <c r="AM169" s="71"/>
    </row>
    <row r="170" spans="1:41" ht="12" customHeight="1">
      <c r="A170" s="581" t="s">
        <v>716</v>
      </c>
      <c r="B170" s="334" t="s">
        <v>1160</v>
      </c>
      <c r="C170" s="335" t="s">
        <v>1161</v>
      </c>
      <c r="D170" s="338"/>
      <c r="E170" s="338"/>
      <c r="F170" s="339"/>
      <c r="G170" s="353" t="s">
        <v>51</v>
      </c>
      <c r="H170" s="2154"/>
      <c r="I170" s="2155"/>
      <c r="J170" s="2176">
        <v>10</v>
      </c>
      <c r="K170" s="2177"/>
      <c r="L170" s="273" t="s">
        <v>507</v>
      </c>
      <c r="M170" s="494">
        <f>AG170</f>
        <v>3.7500000000000006E-2</v>
      </c>
      <c r="O170" s="190" t="str">
        <f>B170</f>
        <v>Zone with</v>
      </c>
      <c r="P170" s="816" t="str">
        <f t="shared" si="5"/>
        <v xml:space="preserve"> soft filling</v>
      </c>
      <c r="Q170" s="820"/>
      <c r="R170" s="813" t="s">
        <v>1159</v>
      </c>
      <c r="S170" s="2084">
        <f>L175</f>
        <v>7.5000000000000011E-2</v>
      </c>
      <c r="T170" s="2085"/>
      <c r="U170" s="2291" t="s">
        <v>832</v>
      </c>
      <c r="V170" s="2292"/>
      <c r="W170" s="2292"/>
      <c r="X170" s="2293"/>
      <c r="Y170" s="2294">
        <v>1.0000000000000001E-5</v>
      </c>
      <c r="Z170" s="2295"/>
      <c r="AA170" s="2335">
        <f>Y170*1000</f>
        <v>0.01</v>
      </c>
      <c r="AB170" s="2336"/>
      <c r="AC170" s="2331">
        <f>Y170^0.333</f>
        <v>2.16271852372702E-2</v>
      </c>
      <c r="AD170" s="2332"/>
      <c r="AE170" s="2339">
        <v>1</v>
      </c>
      <c r="AF170" s="2340"/>
      <c r="AG170" s="2712">
        <f>S170*0.5*AE170</f>
        <v>3.7500000000000006E-2</v>
      </c>
      <c r="AH170" s="2713"/>
      <c r="AI170" s="292"/>
      <c r="AJ170" s="71"/>
      <c r="AK170" s="71"/>
      <c r="AL170" s="292"/>
      <c r="AM170" s="292"/>
    </row>
    <row r="171" spans="1:41" ht="12" customHeight="1" thickBot="1">
      <c r="A171" s="496"/>
      <c r="M171" s="569"/>
      <c r="O171" s="742" t="s">
        <v>1073</v>
      </c>
      <c r="AG171" s="395" t="s">
        <v>1072</v>
      </c>
    </row>
    <row r="172" spans="1:41" ht="12.6" customHeight="1" thickTop="1">
      <c r="A172" s="534" t="s">
        <v>204</v>
      </c>
      <c r="B172" s="542" t="s">
        <v>1071</v>
      </c>
      <c r="C172" s="543"/>
      <c r="D172" s="543"/>
      <c r="E172" s="543"/>
      <c r="F172" s="544"/>
      <c r="G172" s="520"/>
      <c r="H172" s="521"/>
      <c r="I172" s="522"/>
      <c r="J172" s="519"/>
      <c r="K172" s="522"/>
      <c r="L172" s="2271" t="s">
        <v>1046</v>
      </c>
      <c r="M172" s="2272"/>
    </row>
    <row r="173" spans="1:41" ht="12.6" customHeight="1">
      <c r="A173" s="743"/>
      <c r="B173" s="744"/>
      <c r="C173" s="745"/>
      <c r="D173" s="745"/>
      <c r="E173" s="745"/>
      <c r="F173" s="746"/>
      <c r="G173" s="747"/>
      <c r="H173" s="748"/>
      <c r="I173" s="749"/>
      <c r="J173" s="750"/>
      <c r="K173" s="749"/>
      <c r="L173" s="751"/>
      <c r="M173" s="752"/>
      <c r="O173" s="395"/>
      <c r="R173" s="295" t="s">
        <v>831</v>
      </c>
    </row>
    <row r="174" spans="1:41" ht="12" customHeight="1">
      <c r="A174" s="578" t="s">
        <v>958</v>
      </c>
      <c r="B174" s="536" t="s">
        <v>957</v>
      </c>
      <c r="C174" s="537"/>
      <c r="D174" s="582">
        <v>0.1</v>
      </c>
      <c r="E174" s="526" t="s">
        <v>74</v>
      </c>
      <c r="F174" s="584">
        <v>1</v>
      </c>
      <c r="G174" s="2760" t="s">
        <v>51</v>
      </c>
      <c r="H174" s="2261" t="s">
        <v>219</v>
      </c>
      <c r="I174" s="2262"/>
      <c r="J174" s="2265" t="s">
        <v>219</v>
      </c>
      <c r="K174" s="2266"/>
      <c r="L174" s="2259">
        <f>(D174+F174)/2</f>
        <v>0.55000000000000004</v>
      </c>
      <c r="M174" s="2260"/>
    </row>
    <row r="175" spans="1:41" ht="12" customHeight="1">
      <c r="A175" s="676" t="s">
        <v>959</v>
      </c>
      <c r="B175" s="538" t="s">
        <v>956</v>
      </c>
      <c r="C175" s="537"/>
      <c r="D175" s="583">
        <v>0.05</v>
      </c>
      <c r="E175" s="170" t="s">
        <v>74</v>
      </c>
      <c r="F175" s="585">
        <f>D174</f>
        <v>0.1</v>
      </c>
      <c r="G175" s="2761"/>
      <c r="H175" s="2247"/>
      <c r="I175" s="2248"/>
      <c r="J175" s="2111"/>
      <c r="K175" s="2112"/>
      <c r="L175" s="2255">
        <f>(D175+F175)/2</f>
        <v>7.5000000000000011E-2</v>
      </c>
      <c r="M175" s="2256"/>
    </row>
    <row r="176" spans="1:41" ht="12" customHeight="1">
      <c r="A176" s="579" t="s">
        <v>960</v>
      </c>
      <c r="B176" s="538" t="s">
        <v>954</v>
      </c>
      <c r="C176" s="537"/>
      <c r="D176" s="739">
        <v>0.01</v>
      </c>
      <c r="E176" s="740" t="s">
        <v>74</v>
      </c>
      <c r="F176" s="741">
        <f>D175</f>
        <v>0.05</v>
      </c>
      <c r="G176" s="2761"/>
      <c r="H176" s="2247"/>
      <c r="I176" s="2248"/>
      <c r="J176" s="2111"/>
      <c r="K176" s="2112"/>
      <c r="L176" s="2253">
        <f>(D176+F176)/2</f>
        <v>3.0000000000000002E-2</v>
      </c>
      <c r="M176" s="2254"/>
      <c r="O176" s="546" t="s">
        <v>370</v>
      </c>
    </row>
    <row r="177" spans="1:32" ht="12" customHeight="1">
      <c r="A177" s="570"/>
      <c r="B177" s="539" t="s">
        <v>955</v>
      </c>
      <c r="C177" s="540"/>
      <c r="D177" s="541"/>
      <c r="E177" s="527" t="s">
        <v>150</v>
      </c>
      <c r="F177" s="586">
        <v>1E-3</v>
      </c>
      <c r="G177" s="2762"/>
      <c r="H177" s="2263"/>
      <c r="I177" s="2264"/>
      <c r="J177" s="2267"/>
      <c r="K177" s="2268"/>
      <c r="L177" s="2273" t="s">
        <v>909</v>
      </c>
      <c r="M177" s="2274"/>
      <c r="N177" s="366"/>
      <c r="O177" s="2756" t="s">
        <v>139</v>
      </c>
      <c r="P177" s="2757"/>
      <c r="Q177" s="2663" t="s">
        <v>296</v>
      </c>
      <c r="R177" s="2664"/>
      <c r="S177" s="2664"/>
      <c r="T177" s="2664"/>
      <c r="U177" s="2664"/>
      <c r="V177" s="2665"/>
      <c r="W177" s="2767" t="s">
        <v>297</v>
      </c>
      <c r="X177" s="2768"/>
      <c r="Y177" s="2768"/>
      <c r="Z177" s="2768"/>
      <c r="AA177" s="2768"/>
      <c r="AB177" s="2769"/>
      <c r="AC177" s="2663" t="s">
        <v>232</v>
      </c>
      <c r="AD177" s="2664"/>
      <c r="AE177" s="2664"/>
      <c r="AF177" s="2665"/>
    </row>
    <row r="178" spans="1:32" ht="12" customHeight="1" thickBot="1">
      <c r="A178" s="115"/>
      <c r="M178" s="569"/>
      <c r="N178" s="366"/>
      <c r="O178" s="2758"/>
      <c r="P178" s="2759"/>
      <c r="Q178" s="2763" t="s">
        <v>274</v>
      </c>
      <c r="R178" s="2667"/>
      <c r="S178" s="2764"/>
      <c r="T178" s="2666" t="s">
        <v>283</v>
      </c>
      <c r="U178" s="2667"/>
      <c r="V178" s="2668"/>
      <c r="W178" s="2675" t="s">
        <v>284</v>
      </c>
      <c r="X178" s="2676"/>
      <c r="Y178" s="2677"/>
      <c r="Z178" s="2765" t="s">
        <v>285</v>
      </c>
      <c r="AA178" s="2676"/>
      <c r="AB178" s="2766"/>
      <c r="AC178" s="573" t="s">
        <v>267</v>
      </c>
      <c r="AD178" s="2666" t="s">
        <v>283</v>
      </c>
      <c r="AE178" s="2667"/>
      <c r="AF178" s="2668"/>
    </row>
    <row r="179" spans="1:32" ht="12" customHeight="1" thickTop="1">
      <c r="A179" s="534" t="s">
        <v>1042</v>
      </c>
      <c r="B179" s="480" t="s">
        <v>1043</v>
      </c>
      <c r="C179" s="477"/>
      <c r="D179" s="477"/>
      <c r="E179" s="477"/>
      <c r="F179" s="478"/>
      <c r="G179" s="530"/>
      <c r="H179" s="531"/>
      <c r="I179" s="532"/>
      <c r="J179" s="533"/>
      <c r="K179" s="532"/>
      <c r="L179" s="2738" t="s">
        <v>1044</v>
      </c>
      <c r="M179" s="2739"/>
      <c r="N179" s="564"/>
      <c r="O179" s="2770" t="s">
        <v>89</v>
      </c>
      <c r="P179" s="2771"/>
      <c r="Q179" s="2688" t="s">
        <v>269</v>
      </c>
      <c r="R179" s="2689"/>
      <c r="S179" s="2690"/>
      <c r="T179" s="414"/>
      <c r="U179" s="415" t="s">
        <v>150</v>
      </c>
      <c r="V179" s="593">
        <v>15</v>
      </c>
      <c r="W179" s="2682" t="s">
        <v>269</v>
      </c>
      <c r="X179" s="2683"/>
      <c r="Y179" s="2684"/>
      <c r="Z179" s="416"/>
      <c r="AA179" s="417" t="s">
        <v>150</v>
      </c>
      <c r="AB179" s="593">
        <v>15</v>
      </c>
      <c r="AC179" s="2685" t="s">
        <v>140</v>
      </c>
      <c r="AD179" s="420"/>
      <c r="AE179" s="414"/>
      <c r="AF179" s="356"/>
    </row>
    <row r="180" spans="1:32" ht="12" customHeight="1">
      <c r="A180" s="677" t="s">
        <v>401</v>
      </c>
      <c r="B180" s="2652" t="s">
        <v>89</v>
      </c>
      <c r="C180" s="2652"/>
      <c r="D180" s="246"/>
      <c r="E180" s="246"/>
      <c r="F180" s="479"/>
      <c r="G180" s="185" t="s">
        <v>14</v>
      </c>
      <c r="H180" s="2247" t="s">
        <v>219</v>
      </c>
      <c r="I180" s="2248"/>
      <c r="J180" s="2513" t="s">
        <v>219</v>
      </c>
      <c r="K180" s="2153"/>
      <c r="L180" s="2174">
        <v>1</v>
      </c>
      <c r="M180" s="2662"/>
      <c r="N180" s="371"/>
      <c r="O180" s="2772"/>
      <c r="P180" s="2773"/>
      <c r="Q180" s="188"/>
      <c r="R180" s="412" t="s">
        <v>149</v>
      </c>
      <c r="S180" s="589">
        <v>70</v>
      </c>
      <c r="T180" s="2398" t="s">
        <v>269</v>
      </c>
      <c r="U180" s="2126"/>
      <c r="V180" s="2127"/>
      <c r="W180" s="413"/>
      <c r="X180" s="412" t="s">
        <v>149</v>
      </c>
      <c r="Y180" s="589">
        <v>70</v>
      </c>
      <c r="Z180" s="2774" t="s">
        <v>269</v>
      </c>
      <c r="AA180" s="2775"/>
      <c r="AB180" s="2776"/>
      <c r="AC180" s="2686"/>
      <c r="AD180" s="418"/>
      <c r="AE180" s="419" t="s">
        <v>149</v>
      </c>
      <c r="AF180" s="598">
        <v>60</v>
      </c>
    </row>
    <row r="181" spans="1:32" ht="12" customHeight="1">
      <c r="A181" s="677" t="s">
        <v>332</v>
      </c>
      <c r="B181" s="2181" t="s">
        <v>90</v>
      </c>
      <c r="C181" s="2181"/>
      <c r="D181" s="167"/>
      <c r="E181" s="167"/>
      <c r="F181" s="187"/>
      <c r="G181" s="169" t="s">
        <v>15</v>
      </c>
      <c r="H181" s="2247"/>
      <c r="I181" s="2248"/>
      <c r="J181" s="2513"/>
      <c r="K181" s="2153"/>
      <c r="L181" s="2438">
        <v>1</v>
      </c>
      <c r="M181" s="2439"/>
      <c r="N181" s="565"/>
      <c r="O181" s="2457" t="s">
        <v>90</v>
      </c>
      <c r="P181" s="2777"/>
      <c r="Q181" s="69"/>
      <c r="R181" s="191" t="s">
        <v>150</v>
      </c>
      <c r="S181" s="590">
        <v>20</v>
      </c>
      <c r="T181" s="297"/>
      <c r="U181" s="191" t="s">
        <v>150</v>
      </c>
      <c r="V181" s="594">
        <v>20</v>
      </c>
      <c r="W181" s="297"/>
      <c r="X181" s="191" t="s">
        <v>150</v>
      </c>
      <c r="Y181" s="590">
        <v>20</v>
      </c>
      <c r="Z181" s="298"/>
      <c r="AA181" s="191" t="s">
        <v>150</v>
      </c>
      <c r="AB181" s="594">
        <v>20</v>
      </c>
      <c r="AC181" s="2686"/>
      <c r="AD181" s="597">
        <v>45</v>
      </c>
      <c r="AE181" s="189" t="s">
        <v>74</v>
      </c>
      <c r="AF181" s="594">
        <v>60</v>
      </c>
    </row>
    <row r="182" spans="1:32" ht="12" customHeight="1">
      <c r="A182" s="677" t="s">
        <v>169</v>
      </c>
      <c r="B182" s="2181" t="s">
        <v>31</v>
      </c>
      <c r="C182" s="2181"/>
      <c r="D182" s="167"/>
      <c r="E182" s="167"/>
      <c r="F182" s="187"/>
      <c r="G182" s="169" t="s">
        <v>18</v>
      </c>
      <c r="H182" s="2247"/>
      <c r="I182" s="2248"/>
      <c r="J182" s="2513"/>
      <c r="K182" s="2153"/>
      <c r="L182" s="2269">
        <v>1.5</v>
      </c>
      <c r="M182" s="2146"/>
      <c r="N182" s="366"/>
      <c r="O182" s="2778" t="s">
        <v>31</v>
      </c>
      <c r="P182" s="2779"/>
      <c r="Q182" s="299"/>
      <c r="R182" s="191" t="s">
        <v>150</v>
      </c>
      <c r="S182" s="590">
        <v>20</v>
      </c>
      <c r="T182" s="587">
        <v>20</v>
      </c>
      <c r="U182" s="189" t="s">
        <v>53</v>
      </c>
      <c r="V182" s="594">
        <v>45</v>
      </c>
      <c r="W182" s="300"/>
      <c r="X182" s="191" t="s">
        <v>150</v>
      </c>
      <c r="Y182" s="590">
        <v>20</v>
      </c>
      <c r="Z182" s="301"/>
      <c r="AA182" s="191" t="s">
        <v>270</v>
      </c>
      <c r="AB182" s="594">
        <v>60</v>
      </c>
      <c r="AC182" s="2686"/>
      <c r="AD182" s="2752">
        <v>30</v>
      </c>
      <c r="AE182" s="2674" t="s">
        <v>74</v>
      </c>
      <c r="AF182" s="2754">
        <v>45</v>
      </c>
    </row>
    <row r="183" spans="1:32" ht="11.25" customHeight="1">
      <c r="A183" s="678" t="s">
        <v>333</v>
      </c>
      <c r="B183" s="2181" t="s">
        <v>91</v>
      </c>
      <c r="C183" s="2181"/>
      <c r="D183" s="167"/>
      <c r="E183" s="167"/>
      <c r="F183" s="187"/>
      <c r="G183" s="169" t="s">
        <v>20</v>
      </c>
      <c r="H183" s="2247"/>
      <c r="I183" s="2248"/>
      <c r="J183" s="2513"/>
      <c r="K183" s="2153"/>
      <c r="L183" s="2269">
        <v>2</v>
      </c>
      <c r="M183" s="2146"/>
      <c r="N183" s="566"/>
      <c r="O183" s="2772"/>
      <c r="P183" s="2773"/>
      <c r="Q183" s="587">
        <v>20</v>
      </c>
      <c r="R183" s="189" t="s">
        <v>53</v>
      </c>
      <c r="S183" s="590">
        <v>70</v>
      </c>
      <c r="T183" s="297"/>
      <c r="U183" s="191" t="s">
        <v>150</v>
      </c>
      <c r="V183" s="594">
        <v>45</v>
      </c>
      <c r="W183" s="596">
        <v>20</v>
      </c>
      <c r="X183" s="302" t="s">
        <v>53</v>
      </c>
      <c r="Y183" s="589">
        <v>70</v>
      </c>
      <c r="Z183" s="2774" t="s">
        <v>269</v>
      </c>
      <c r="AA183" s="2775"/>
      <c r="AB183" s="2776"/>
      <c r="AC183" s="2686"/>
      <c r="AD183" s="2753"/>
      <c r="AE183" s="2588"/>
      <c r="AF183" s="2755"/>
    </row>
    <row r="184" spans="1:32" ht="14.25" customHeight="1">
      <c r="A184" s="679" t="s">
        <v>629</v>
      </c>
      <c r="B184" s="2167" t="s">
        <v>92</v>
      </c>
      <c r="C184" s="2167"/>
      <c r="D184" s="335"/>
      <c r="E184" s="335"/>
      <c r="F184" s="476"/>
      <c r="G184" s="339" t="s">
        <v>22</v>
      </c>
      <c r="H184" s="2263"/>
      <c r="I184" s="2264"/>
      <c r="J184" s="2653"/>
      <c r="K184" s="2155"/>
      <c r="L184" s="2176">
        <v>3</v>
      </c>
      <c r="M184" s="2622"/>
      <c r="N184" s="567"/>
      <c r="O184" s="2457" t="s">
        <v>91</v>
      </c>
      <c r="P184" s="2777"/>
      <c r="Q184" s="587">
        <v>20</v>
      </c>
      <c r="R184" s="170" t="s">
        <v>74</v>
      </c>
      <c r="S184" s="590">
        <v>70</v>
      </c>
      <c r="T184" s="587">
        <v>45</v>
      </c>
      <c r="U184" s="189" t="s">
        <v>53</v>
      </c>
      <c r="V184" s="594">
        <v>90</v>
      </c>
      <c r="W184" s="303"/>
      <c r="X184" s="191" t="s">
        <v>150</v>
      </c>
      <c r="Y184" s="590">
        <v>20</v>
      </c>
      <c r="Z184" s="61"/>
      <c r="AA184" s="191" t="s">
        <v>149</v>
      </c>
      <c r="AB184" s="594">
        <v>60</v>
      </c>
      <c r="AC184" s="2686"/>
      <c r="AD184" s="597">
        <v>15</v>
      </c>
      <c r="AE184" s="189" t="s">
        <v>74</v>
      </c>
      <c r="AF184" s="594">
        <v>30</v>
      </c>
    </row>
    <row r="185" spans="1:32" ht="14.25" customHeight="1" thickBot="1">
      <c r="A185" s="426"/>
      <c r="B185" s="557"/>
      <c r="C185" s="558"/>
      <c r="D185" s="558"/>
      <c r="E185" s="558"/>
      <c r="F185" s="558"/>
      <c r="G185" s="529"/>
      <c r="H185" s="559"/>
      <c r="I185" s="559"/>
      <c r="J185" s="560"/>
      <c r="K185" s="560"/>
      <c r="L185" s="571"/>
      <c r="M185" s="572"/>
      <c r="N185" s="545"/>
      <c r="O185" s="2780" t="s">
        <v>92</v>
      </c>
      <c r="P185" s="2781"/>
      <c r="Q185" s="304"/>
      <c r="R185" s="199" t="s">
        <v>150</v>
      </c>
      <c r="S185" s="591">
        <v>20</v>
      </c>
      <c r="T185" s="592">
        <v>45</v>
      </c>
      <c r="U185" s="305" t="s">
        <v>53</v>
      </c>
      <c r="V185" s="595">
        <v>90</v>
      </c>
      <c r="W185" s="306"/>
      <c r="X185" s="305" t="s">
        <v>53</v>
      </c>
      <c r="Y185" s="307"/>
      <c r="Z185" s="308"/>
      <c r="AA185" s="309" t="s">
        <v>53</v>
      </c>
      <c r="AB185" s="200"/>
      <c r="AC185" s="2687"/>
      <c r="AD185" s="306"/>
      <c r="AE185" s="199" t="s">
        <v>150</v>
      </c>
      <c r="AF185" s="595">
        <v>15</v>
      </c>
    </row>
    <row r="186" spans="1:32" ht="14.25" customHeight="1" thickTop="1">
      <c r="A186" s="548" t="s">
        <v>1049</v>
      </c>
      <c r="B186" s="549" t="s">
        <v>1069</v>
      </c>
      <c r="C186" s="549"/>
      <c r="D186" s="550"/>
      <c r="E186" s="550"/>
      <c r="F186" s="550"/>
      <c r="G186" s="550"/>
      <c r="H186" s="550"/>
      <c r="I186" s="550"/>
      <c r="J186" s="550"/>
      <c r="K186" s="550"/>
      <c r="L186" s="2740" t="s">
        <v>1070</v>
      </c>
      <c r="M186" s="2741"/>
      <c r="N186" s="209"/>
      <c r="O186" s="359"/>
      <c r="P186" s="357"/>
      <c r="Q186" s="360"/>
      <c r="R186" s="360"/>
      <c r="S186" s="357"/>
      <c r="T186" s="358"/>
      <c r="U186" s="360"/>
      <c r="V186" s="361"/>
      <c r="W186" s="362"/>
      <c r="X186" s="362"/>
      <c r="Y186" s="362"/>
      <c r="Z186" s="362"/>
      <c r="AA186" s="362"/>
      <c r="AB186" s="363"/>
      <c r="AC186" s="362"/>
      <c r="AD186" s="360"/>
      <c r="AE186" s="361"/>
      <c r="AF186" s="364"/>
    </row>
    <row r="187" spans="1:32" ht="11.25" customHeight="1">
      <c r="A187" s="528"/>
      <c r="B187" s="551"/>
      <c r="C187" s="551"/>
      <c r="D187" s="552" t="s">
        <v>1050</v>
      </c>
      <c r="E187" s="552" t="s">
        <v>1051</v>
      </c>
      <c r="F187" s="552" t="s">
        <v>1052</v>
      </c>
      <c r="G187" s="553"/>
      <c r="H187" s="2742"/>
      <c r="I187" s="2743"/>
      <c r="J187" s="688" t="s">
        <v>1067</v>
      </c>
      <c r="K187" s="689" t="s">
        <v>1068</v>
      </c>
      <c r="L187" s="2744" t="s">
        <v>1059</v>
      </c>
      <c r="M187" s="2745"/>
      <c r="N187" s="209"/>
      <c r="O187" s="365"/>
      <c r="R187" s="421" t="s">
        <v>302</v>
      </c>
      <c r="S187"/>
      <c r="T187"/>
      <c r="U187"/>
      <c r="V187"/>
      <c r="W187"/>
      <c r="X187"/>
      <c r="Y187"/>
      <c r="AF187" s="366"/>
    </row>
    <row r="188" spans="1:32" ht="12.75" customHeight="1">
      <c r="A188" s="676" t="s">
        <v>1162</v>
      </c>
      <c r="B188" s="69" t="s">
        <v>1053</v>
      </c>
      <c r="C188" s="554"/>
      <c r="D188" s="681">
        <v>3</v>
      </c>
      <c r="E188" s="680">
        <v>1</v>
      </c>
      <c r="F188" s="680">
        <v>1</v>
      </c>
      <c r="G188" s="86" t="s">
        <v>14</v>
      </c>
      <c r="H188" s="2746"/>
      <c r="I188" s="2747"/>
      <c r="J188" s="690">
        <f>D188</f>
        <v>3</v>
      </c>
      <c r="K188" s="690">
        <f>F188</f>
        <v>1</v>
      </c>
      <c r="L188" s="2750">
        <f>E188*D188/F188</f>
        <v>3</v>
      </c>
      <c r="M188" s="2751"/>
      <c r="O188" s="367"/>
      <c r="S188" s="368" t="s">
        <v>407</v>
      </c>
      <c r="T188" s="260"/>
      <c r="V188" s="260"/>
      <c r="W188" s="373" t="s">
        <v>271</v>
      </c>
      <c r="X188" s="260"/>
      <c r="Y188" s="260"/>
      <c r="Z188" s="260"/>
      <c r="AF188" s="366"/>
    </row>
    <row r="189" spans="1:32" ht="13.5" customHeight="1">
      <c r="A189" s="676" t="s">
        <v>1060</v>
      </c>
      <c r="B189" s="69" t="s">
        <v>1054</v>
      </c>
      <c r="C189" s="554"/>
      <c r="D189" s="681">
        <v>2</v>
      </c>
      <c r="E189" s="680">
        <v>1</v>
      </c>
      <c r="F189" s="680">
        <v>2</v>
      </c>
      <c r="G189" s="555" t="s">
        <v>15</v>
      </c>
      <c r="H189" s="2746"/>
      <c r="I189" s="2747"/>
      <c r="J189" s="690">
        <f t="shared" ref="J189:J194" si="6">D189</f>
        <v>2</v>
      </c>
      <c r="K189" s="690">
        <f t="shared" ref="K189:K194" si="7">F189</f>
        <v>2</v>
      </c>
      <c r="L189" s="2750">
        <f t="shared" ref="L189:L193" si="8">E189*D189/F189</f>
        <v>1</v>
      </c>
      <c r="M189" s="2751"/>
      <c r="N189" s="366"/>
      <c r="O189" s="367"/>
      <c r="R189" s="72" t="s">
        <v>294</v>
      </c>
      <c r="S189" s="588">
        <v>45</v>
      </c>
      <c r="T189" s="372" t="str">
        <f>IF(S189&gt;90,"input is &gt;90","")</f>
        <v/>
      </c>
      <c r="V189" s="310"/>
      <c r="W189" s="310"/>
      <c r="X189" s="497" t="str">
        <f>IF(S189="","",IF(S190&gt;'Parameter tables'!AF180,'Parameter tables'!O179,IF(S190&gt;='Parameter tables'!AD181,'Parameter tables'!O181,IF(S190&gt;='Parameter tables'!AD182,'Parameter tables'!O182,IF(S190&gt;='Parameter tables'!AD184,'Parameter tables'!O184,'Parameter tables'!O185)))))</f>
        <v>Very favourable</v>
      </c>
      <c r="Y189" s="311" t="s">
        <v>196</v>
      </c>
      <c r="AF189" s="366"/>
    </row>
    <row r="190" spans="1:32" ht="12" customHeight="1">
      <c r="A190" s="676" t="s">
        <v>1061</v>
      </c>
      <c r="B190" s="69" t="s">
        <v>1055</v>
      </c>
      <c r="C190" s="554"/>
      <c r="D190" s="681">
        <v>1</v>
      </c>
      <c r="E190" s="684">
        <v>1</v>
      </c>
      <c r="F190" s="685">
        <v>4</v>
      </c>
      <c r="G190" s="556" t="s">
        <v>18</v>
      </c>
      <c r="H190" s="2746"/>
      <c r="I190" s="2747"/>
      <c r="J190" s="690">
        <f t="shared" si="6"/>
        <v>1</v>
      </c>
      <c r="K190" s="690">
        <f t="shared" si="7"/>
        <v>4</v>
      </c>
      <c r="L190" s="2200">
        <f t="shared" si="8"/>
        <v>0.25</v>
      </c>
      <c r="M190" s="2201"/>
      <c r="N190" s="568"/>
      <c r="O190" s="367"/>
      <c r="R190" s="72" t="s">
        <v>295</v>
      </c>
      <c r="S190" s="588">
        <v>90</v>
      </c>
      <c r="T190" s="372" t="str">
        <f>IF(S190&gt;90,"input is &gt;90","")</f>
        <v/>
      </c>
      <c r="V190" s="68"/>
      <c r="W190" s="67"/>
      <c r="X190" s="498" t="str">
        <f>IF(S190="","",IF(S190&lt;V179,O179,IF(S189&gt;'Parameter tables'!S180,'Parameter tables'!O179,IF(AND(S189&lt;'Parameter tables'!S181,S190&lt;'Parameter tables'!V181,S190&gt;'Parameter tables'!T181),'Parameter tables'!O181,IF(AND(S189&lt;'Parameter tables'!S182,S190&lt;='Parameter tables'!V182,S190&gt;='Parameter tables'!T182),'Parameter tables'!O182,IF(AND(S189&lt;='Parameter tables'!S183,S189&gt;='Parameter tables'!Q183,S190&lt;'Parameter tables'!V183),'Parameter tables'!O182,IF(AND(S189&lt;='Parameter tables'!S184,S189&gt;='Parameter tables'!Q184,S190&lt;='Parameter tables'!V184,S190&gt;='Parameter tables'!T184),'Parameter tables'!O184,IF(AND(S189&lt;'Parameter tables'!S185,S190&lt;='Parameter tables'!V185,S190&gt;='Parameter tables'!T185),'Parameter tables'!O185,"?"))))))))</f>
        <v>Unfavourable</v>
      </c>
      <c r="Y190" s="312" t="s">
        <v>272</v>
      </c>
      <c r="AF190" s="366"/>
    </row>
    <row r="191" spans="1:32" ht="12" customHeight="1">
      <c r="A191" s="676" t="s">
        <v>1062</v>
      </c>
      <c r="B191" s="69" t="s">
        <v>1056</v>
      </c>
      <c r="C191" s="554"/>
      <c r="D191" s="681">
        <v>1</v>
      </c>
      <c r="E191" s="680">
        <v>1</v>
      </c>
      <c r="F191" s="680">
        <v>4</v>
      </c>
      <c r="G191" s="86" t="s">
        <v>20</v>
      </c>
      <c r="H191" s="2746"/>
      <c r="I191" s="2747"/>
      <c r="J191" s="690">
        <f t="shared" si="6"/>
        <v>1</v>
      </c>
      <c r="K191" s="690">
        <f t="shared" si="7"/>
        <v>4</v>
      </c>
      <c r="L191" s="2200">
        <f t="shared" si="8"/>
        <v>0.25</v>
      </c>
      <c r="M191" s="2201"/>
      <c r="N191" s="222"/>
      <c r="O191" s="367"/>
      <c r="R191" s="70"/>
      <c r="S191" s="70"/>
      <c r="T191" s="70"/>
      <c r="V191" s="67"/>
      <c r="W191" s="67"/>
      <c r="X191" s="498" t="str">
        <f>IF(S190="","",IF(S190&lt;AB179,O179,IF(S189&gt;'Parameter tables'!Y180,'Parameter tables'!O179,IF(AND(S189&lt;'Parameter tables'!Y181,S190&lt;'Parameter tables'!AB181),'Parameter tables'!O181,IF(AND(S189&lt;'Parameter tables'!Y182,S190&lt;='Parameter tables'!AB182),'Parameter tables'!O182,IF(AND(S189&lt;='Parameter tables'!Y183,S189&gt;='Parameter tables'!W183),'Parameter tables'!O182,IF(AND(S189&lt;'Parameter tables'!Y184,S190&gt;'Parameter tables'!AB184),'Parameter tables'!O184,"?")))))))</f>
        <v>Fair</v>
      </c>
      <c r="Y191" s="313" t="s">
        <v>304</v>
      </c>
      <c r="Z191" s="314"/>
      <c r="AF191" s="366"/>
    </row>
    <row r="192" spans="1:32" ht="12" customHeight="1">
      <c r="A192" s="676" t="s">
        <v>1063</v>
      </c>
      <c r="B192" s="69" t="s">
        <v>1057</v>
      </c>
      <c r="C192" s="554"/>
      <c r="D192" s="681">
        <v>1</v>
      </c>
      <c r="E192" s="680">
        <v>1</v>
      </c>
      <c r="F192" s="680">
        <v>6</v>
      </c>
      <c r="G192" s="86" t="s">
        <v>22</v>
      </c>
      <c r="H192" s="2746"/>
      <c r="I192" s="2747"/>
      <c r="J192" s="690">
        <f t="shared" si="6"/>
        <v>1</v>
      </c>
      <c r="K192" s="690">
        <f t="shared" si="7"/>
        <v>6</v>
      </c>
      <c r="L192" s="2202">
        <f t="shared" si="8"/>
        <v>0.16666666666666666</v>
      </c>
      <c r="M192" s="2203"/>
      <c r="N192" s="222"/>
      <c r="O192" s="367"/>
      <c r="R192" s="369" t="s">
        <v>391</v>
      </c>
      <c r="AF192" s="366"/>
    </row>
    <row r="193" spans="1:32" ht="10.5" customHeight="1">
      <c r="A193" s="676" t="s">
        <v>1154</v>
      </c>
      <c r="B193" s="69" t="s">
        <v>1153</v>
      </c>
      <c r="C193" s="554"/>
      <c r="D193" s="681">
        <v>1</v>
      </c>
      <c r="E193" s="680">
        <v>1</v>
      </c>
      <c r="F193" s="680">
        <v>8</v>
      </c>
      <c r="G193" s="86" t="s">
        <v>24</v>
      </c>
      <c r="H193" s="2746"/>
      <c r="I193" s="2747"/>
      <c r="J193" s="690">
        <f t="shared" si="6"/>
        <v>1</v>
      </c>
      <c r="K193" s="690">
        <f t="shared" si="7"/>
        <v>8</v>
      </c>
      <c r="L193" s="2241">
        <f t="shared" si="8"/>
        <v>0.125</v>
      </c>
      <c r="M193" s="2242"/>
      <c r="N193" s="222"/>
      <c r="O193" s="370"/>
      <c r="P193" s="252"/>
      <c r="Q193" s="252"/>
      <c r="R193" s="252"/>
      <c r="S193" s="252"/>
      <c r="T193" s="252"/>
      <c r="U193" s="252"/>
      <c r="V193" s="252"/>
      <c r="W193" s="252"/>
      <c r="X193" s="252"/>
      <c r="Y193" s="252"/>
      <c r="Z193" s="252"/>
      <c r="AA193" s="252"/>
      <c r="AB193" s="252"/>
      <c r="AC193" s="252"/>
      <c r="AD193" s="252"/>
      <c r="AE193" s="252"/>
      <c r="AF193" s="371"/>
    </row>
    <row r="194" spans="1:32" ht="12" customHeight="1" thickBot="1">
      <c r="A194" s="683" t="s">
        <v>909</v>
      </c>
      <c r="B194" s="561" t="s">
        <v>1058</v>
      </c>
      <c r="C194" s="562"/>
      <c r="D194" s="686">
        <v>1</v>
      </c>
      <c r="E194" s="687">
        <v>1</v>
      </c>
      <c r="F194" s="686">
        <v>16</v>
      </c>
      <c r="G194" s="563" t="s">
        <v>26</v>
      </c>
      <c r="H194" s="2748"/>
      <c r="I194" s="2749"/>
      <c r="J194" s="691">
        <f t="shared" si="6"/>
        <v>1</v>
      </c>
      <c r="K194" s="691">
        <f t="shared" si="7"/>
        <v>16</v>
      </c>
      <c r="L194" s="2243" t="s">
        <v>909</v>
      </c>
      <c r="M194" s="2244"/>
      <c r="N194" s="222"/>
    </row>
    <row r="195" spans="1:32" ht="12" customHeight="1" thickBot="1">
      <c r="N195" s="225"/>
      <c r="P195" s="547"/>
    </row>
    <row r="196" spans="1:32" ht="12" customHeight="1">
      <c r="A196" s="79" t="s">
        <v>1101</v>
      </c>
      <c r="B196" s="2107" t="s">
        <v>908</v>
      </c>
      <c r="C196" s="2107"/>
      <c r="D196" s="2107"/>
      <c r="E196" s="2107"/>
      <c r="F196" s="2108"/>
      <c r="G196" s="2099" t="s">
        <v>241</v>
      </c>
      <c r="H196" s="2431" t="s">
        <v>362</v>
      </c>
      <c r="I196" s="2427"/>
      <c r="J196" s="2425" t="s">
        <v>0</v>
      </c>
      <c r="K196" s="2427"/>
      <c r="L196" s="2425" t="s">
        <v>1</v>
      </c>
      <c r="M196" s="2426"/>
      <c r="N196" s="65"/>
    </row>
    <row r="197" spans="1:32" ht="12" customHeight="1">
      <c r="A197" s="80"/>
      <c r="B197" s="106"/>
      <c r="C197" s="106" t="s">
        <v>910</v>
      </c>
      <c r="D197" s="106"/>
      <c r="E197" s="106"/>
      <c r="F197" s="439"/>
      <c r="G197" s="2100"/>
      <c r="H197" s="2101" t="s">
        <v>53</v>
      </c>
      <c r="I197" s="2102"/>
      <c r="J197" s="2103" t="s">
        <v>53</v>
      </c>
      <c r="K197" s="2102"/>
      <c r="L197" s="2103" t="s">
        <v>202</v>
      </c>
      <c r="M197" s="2314"/>
      <c r="N197" s="315"/>
    </row>
    <row r="198" spans="1:32">
      <c r="A198" s="753" t="s">
        <v>1076</v>
      </c>
      <c r="B198" s="140" t="s">
        <v>201</v>
      </c>
      <c r="C198" s="73" t="s">
        <v>216</v>
      </c>
      <c r="D198" s="73"/>
      <c r="E198" s="73"/>
      <c r="F198" s="443"/>
      <c r="G198" s="86" t="s">
        <v>14</v>
      </c>
      <c r="H198" s="2150" t="s">
        <v>219</v>
      </c>
      <c r="I198" s="2151"/>
      <c r="J198" s="2511" t="s">
        <v>219</v>
      </c>
      <c r="K198" s="2151"/>
      <c r="L198" s="2315">
        <v>1</v>
      </c>
      <c r="M198" s="2394"/>
    </row>
    <row r="199" spans="1:32" ht="12.75" customHeight="1">
      <c r="A199" s="753" t="s">
        <v>1077</v>
      </c>
      <c r="B199" s="140" t="s">
        <v>218</v>
      </c>
      <c r="C199" s="63" t="s">
        <v>217</v>
      </c>
      <c r="D199" s="63"/>
      <c r="E199" s="63"/>
      <c r="F199" s="443"/>
      <c r="G199" s="86" t="s">
        <v>15</v>
      </c>
      <c r="H199" s="2152"/>
      <c r="I199" s="2153"/>
      <c r="J199" s="2513"/>
      <c r="K199" s="2153"/>
      <c r="L199" s="2269">
        <v>0.8</v>
      </c>
      <c r="M199" s="2146"/>
    </row>
    <row r="200" spans="1:32" ht="15.75" customHeight="1">
      <c r="A200" s="797" t="s">
        <v>1078</v>
      </c>
      <c r="B200" s="444" t="s">
        <v>208</v>
      </c>
      <c r="C200" s="445" t="s">
        <v>210</v>
      </c>
      <c r="D200" s="445"/>
      <c r="E200" s="445"/>
      <c r="F200" s="204"/>
      <c r="G200" s="243" t="s">
        <v>18</v>
      </c>
      <c r="H200" s="2154"/>
      <c r="I200" s="2155"/>
      <c r="J200" s="2653"/>
      <c r="K200" s="2155"/>
      <c r="L200" s="2176">
        <v>0.5</v>
      </c>
      <c r="M200" s="2622"/>
      <c r="P200" s="379" t="s">
        <v>836</v>
      </c>
    </row>
    <row r="201" spans="1:32" ht="13.5" thickBot="1">
      <c r="A201" s="244"/>
      <c r="B201" s="501" t="s">
        <v>912</v>
      </c>
      <c r="C201" s="499"/>
      <c r="D201" s="499"/>
      <c r="E201" s="499"/>
      <c r="F201" s="499"/>
      <c r="G201" s="499"/>
      <c r="H201" s="499"/>
      <c r="I201" s="499"/>
      <c r="J201" s="499"/>
      <c r="K201" s="499"/>
      <c r="L201" s="499"/>
      <c r="M201" s="500"/>
    </row>
    <row r="202" spans="1:32">
      <c r="A202" s="72"/>
      <c r="B202" s="398"/>
      <c r="C202" s="65"/>
      <c r="D202" s="65"/>
      <c r="E202" s="65"/>
      <c r="F202" s="65"/>
      <c r="G202" s="316"/>
      <c r="H202" s="257"/>
      <c r="I202" s="260"/>
      <c r="J202" s="317"/>
      <c r="K202"/>
      <c r="L202" s="257"/>
      <c r="M202" s="316"/>
    </row>
    <row r="203" spans="1:32">
      <c r="A203" s="72"/>
      <c r="B203" s="398"/>
      <c r="C203" s="61"/>
      <c r="D203" s="61"/>
      <c r="E203" s="61"/>
      <c r="F203" s="61"/>
      <c r="G203" s="316"/>
      <c r="H203" s="257"/>
      <c r="I203" s="260"/>
      <c r="J203" s="317"/>
      <c r="K203"/>
      <c r="L203" s="257"/>
      <c r="M203" s="316"/>
    </row>
    <row r="204" spans="1:32">
      <c r="A204" s="72"/>
      <c r="B204" s="535"/>
      <c r="C204" s="65"/>
      <c r="D204" s="65"/>
      <c r="E204" s="65"/>
      <c r="F204" s="65"/>
      <c r="G204" s="316"/>
      <c r="H204" s="257"/>
      <c r="I204" s="260"/>
      <c r="J204" s="317"/>
      <c r="K204"/>
      <c r="L204" s="257"/>
      <c r="M204" s="316"/>
    </row>
    <row r="211" spans="1:13">
      <c r="A211" s="318"/>
      <c r="B211" s="319"/>
      <c r="C211"/>
      <c r="D211"/>
      <c r="E211"/>
      <c r="F211"/>
      <c r="G211"/>
      <c r="H211" s="319"/>
      <c r="I211"/>
      <c r="J211"/>
      <c r="K211"/>
      <c r="L211"/>
      <c r="M211" s="3"/>
    </row>
  </sheetData>
  <sheetProtection algorithmName="SHA-512" hashValue="HY5xSQRCQO8Ul/nySYam5rHBxkb0PgsmLrCfxH3QH7PUnWhHB1tbQuAMK5HBJaP1+G1a/lyPNMbriSK91ROW/A==" saltValue="e4ZH/5U6rGT9g4oq5nX3Nw==" spinCount="100000" sheet="1" formatCells="0"/>
  <mergeCells count="606">
    <mergeCell ref="AE182:AE183"/>
    <mergeCell ref="AD182:AD183"/>
    <mergeCell ref="AF182:AF183"/>
    <mergeCell ref="O177:P178"/>
    <mergeCell ref="G174:G177"/>
    <mergeCell ref="Q178:S178"/>
    <mergeCell ref="T178:V178"/>
    <mergeCell ref="W178:Y178"/>
    <mergeCell ref="Z178:AB178"/>
    <mergeCell ref="AD178:AF178"/>
    <mergeCell ref="Q177:V177"/>
    <mergeCell ref="W177:AB177"/>
    <mergeCell ref="AC177:AF177"/>
    <mergeCell ref="O179:P180"/>
    <mergeCell ref="W179:Y179"/>
    <mergeCell ref="Z183:AB183"/>
    <mergeCell ref="Q179:S179"/>
    <mergeCell ref="AC179:AC185"/>
    <mergeCell ref="O181:P181"/>
    <mergeCell ref="O182:P183"/>
    <mergeCell ref="O184:P184"/>
    <mergeCell ref="O185:P185"/>
    <mergeCell ref="Z180:AB180"/>
    <mergeCell ref="L175:M175"/>
    <mergeCell ref="L197:M197"/>
    <mergeCell ref="J197:K197"/>
    <mergeCell ref="H197:I197"/>
    <mergeCell ref="L179:M179"/>
    <mergeCell ref="T180:V180"/>
    <mergeCell ref="L180:M180"/>
    <mergeCell ref="B181:C181"/>
    <mergeCell ref="L181:M181"/>
    <mergeCell ref="B182:C182"/>
    <mergeCell ref="L182:M182"/>
    <mergeCell ref="B183:C183"/>
    <mergeCell ref="L183:M183"/>
    <mergeCell ref="H196:I196"/>
    <mergeCell ref="J196:K196"/>
    <mergeCell ref="L196:M196"/>
    <mergeCell ref="G196:G197"/>
    <mergeCell ref="L186:M186"/>
    <mergeCell ref="H180:I184"/>
    <mergeCell ref="H187:I187"/>
    <mergeCell ref="L187:M187"/>
    <mergeCell ref="H188:I194"/>
    <mergeCell ref="L188:M188"/>
    <mergeCell ref="L189:M189"/>
    <mergeCell ref="L190:M190"/>
    <mergeCell ref="AG165:AH165"/>
    <mergeCell ref="AG166:AH166"/>
    <mergeCell ref="AG167:AH167"/>
    <mergeCell ref="AG168:AH168"/>
    <mergeCell ref="AG169:AH169"/>
    <mergeCell ref="AG170:AH170"/>
    <mergeCell ref="Y165:AD165"/>
    <mergeCell ref="U165:X165"/>
    <mergeCell ref="AA166:AB166"/>
    <mergeCell ref="Y166:Z166"/>
    <mergeCell ref="U166:X166"/>
    <mergeCell ref="U167:X167"/>
    <mergeCell ref="U168:X168"/>
    <mergeCell ref="U169:X169"/>
    <mergeCell ref="Y167:Z167"/>
    <mergeCell ref="Y168:Z168"/>
    <mergeCell ref="Y169:Z169"/>
    <mergeCell ref="AA167:AB167"/>
    <mergeCell ref="AA168:AB168"/>
    <mergeCell ref="AE165:AF165"/>
    <mergeCell ref="AE166:AF166"/>
    <mergeCell ref="AC166:AD166"/>
    <mergeCell ref="AC168:AD168"/>
    <mergeCell ref="AC169:AD169"/>
    <mergeCell ref="H198:I200"/>
    <mergeCell ref="J198:K200"/>
    <mergeCell ref="L198:M198"/>
    <mergeCell ref="L199:M199"/>
    <mergeCell ref="L200:M200"/>
    <mergeCell ref="AC82:AC88"/>
    <mergeCell ref="Q82:S82"/>
    <mergeCell ref="J109:K109"/>
    <mergeCell ref="L108:M108"/>
    <mergeCell ref="H110:I110"/>
    <mergeCell ref="U117:X117"/>
    <mergeCell ref="Q119:R119"/>
    <mergeCell ref="Q117:R117"/>
    <mergeCell ref="P145:Q146"/>
    <mergeCell ref="Q152:R154"/>
    <mergeCell ref="Q155:R155"/>
    <mergeCell ref="L123:M123"/>
    <mergeCell ref="H124:I125"/>
    <mergeCell ref="H122:I122"/>
    <mergeCell ref="L125:M125"/>
    <mergeCell ref="H126:I126"/>
    <mergeCell ref="O115:P115"/>
    <mergeCell ref="J101:K101"/>
    <mergeCell ref="J103:K103"/>
    <mergeCell ref="AC80:AF80"/>
    <mergeCell ref="AD81:AF81"/>
    <mergeCell ref="W80:AB80"/>
    <mergeCell ref="Z81:AB81"/>
    <mergeCell ref="AE85:AE86"/>
    <mergeCell ref="Z83:AB83"/>
    <mergeCell ref="W81:Y81"/>
    <mergeCell ref="O80:P81"/>
    <mergeCell ref="L83:M83"/>
    <mergeCell ref="W82:Y82"/>
    <mergeCell ref="J161:K161"/>
    <mergeCell ref="B196:F196"/>
    <mergeCell ref="B180:C180"/>
    <mergeCell ref="J180:K184"/>
    <mergeCell ref="J142:K142"/>
    <mergeCell ref="H144:I145"/>
    <mergeCell ref="D142:F142"/>
    <mergeCell ref="L94:M94"/>
    <mergeCell ref="L96:M96"/>
    <mergeCell ref="J106:K106"/>
    <mergeCell ref="J98:K98"/>
    <mergeCell ref="K113:K114"/>
    <mergeCell ref="J113:J114"/>
    <mergeCell ref="L112:M112"/>
    <mergeCell ref="L139:M139"/>
    <mergeCell ref="J140:K141"/>
    <mergeCell ref="J144:K144"/>
    <mergeCell ref="L143:M143"/>
    <mergeCell ref="J143:K143"/>
    <mergeCell ref="B184:C184"/>
    <mergeCell ref="L184:M184"/>
    <mergeCell ref="J123:K129"/>
    <mergeCell ref="L127:M127"/>
    <mergeCell ref="L126:M126"/>
    <mergeCell ref="Z54:AA54"/>
    <mergeCell ref="T83:V83"/>
    <mergeCell ref="B119:F119"/>
    <mergeCell ref="B113:C114"/>
    <mergeCell ref="H97:I97"/>
    <mergeCell ref="L95:M95"/>
    <mergeCell ref="J82:K82"/>
    <mergeCell ref="L85:M85"/>
    <mergeCell ref="L87:M87"/>
    <mergeCell ref="J57:K61"/>
    <mergeCell ref="L86:M86"/>
    <mergeCell ref="L89:M89"/>
    <mergeCell ref="J89:K89"/>
    <mergeCell ref="J93:K93"/>
    <mergeCell ref="L84:M84"/>
    <mergeCell ref="L92:M92"/>
    <mergeCell ref="J79:K79"/>
    <mergeCell ref="L72:M72"/>
    <mergeCell ref="J92:K92"/>
    <mergeCell ref="J66:K70"/>
    <mergeCell ref="J65:K65"/>
    <mergeCell ref="J64:K64"/>
    <mergeCell ref="L64:M64"/>
    <mergeCell ref="L74:M74"/>
    <mergeCell ref="Q149:V150"/>
    <mergeCell ref="H138:I138"/>
    <mergeCell ref="H139:I139"/>
    <mergeCell ref="J138:K138"/>
    <mergeCell ref="U116:X116"/>
    <mergeCell ref="U115:X115"/>
    <mergeCell ref="U152:V154"/>
    <mergeCell ref="J152:K153"/>
    <mergeCell ref="J155:K155"/>
    <mergeCell ref="J151:K151"/>
    <mergeCell ref="L128:M128"/>
    <mergeCell ref="H128:I128"/>
    <mergeCell ref="H129:I129"/>
    <mergeCell ref="L124:M124"/>
    <mergeCell ref="L132:M136"/>
    <mergeCell ref="B121:M121"/>
    <mergeCell ref="B126:C126"/>
    <mergeCell ref="G138:G139"/>
    <mergeCell ref="B138:F138"/>
    <mergeCell ref="J139:K139"/>
    <mergeCell ref="B139:C139"/>
    <mergeCell ref="L138:M138"/>
    <mergeCell ref="D139:F139"/>
    <mergeCell ref="O150:O151"/>
    <mergeCell ref="Q151:V151"/>
    <mergeCell ref="U155:V155"/>
    <mergeCell ref="U156:V156"/>
    <mergeCell ref="B152:B155"/>
    <mergeCell ref="C153:F153"/>
    <mergeCell ref="H157:I157"/>
    <mergeCell ref="L157:M157"/>
    <mergeCell ref="D158:F158"/>
    <mergeCell ref="L152:M152"/>
    <mergeCell ref="L153:M153"/>
    <mergeCell ref="H152:I155"/>
    <mergeCell ref="C152:F152"/>
    <mergeCell ref="L155:M155"/>
    <mergeCell ref="C155:F155"/>
    <mergeCell ref="B158:B160"/>
    <mergeCell ref="B157:F157"/>
    <mergeCell ref="C154:F154"/>
    <mergeCell ref="J159:K159"/>
    <mergeCell ref="C160:F160"/>
    <mergeCell ref="U118:X118"/>
    <mergeCell ref="AF85:AF86"/>
    <mergeCell ref="O144:U144"/>
    <mergeCell ref="O140:U142"/>
    <mergeCell ref="AD85:AD86"/>
    <mergeCell ref="Z86:AB86"/>
    <mergeCell ref="O85:O86"/>
    <mergeCell ref="P85:P86"/>
    <mergeCell ref="O113:P114"/>
    <mergeCell ref="O143:U143"/>
    <mergeCell ref="O117:P117"/>
    <mergeCell ref="O139:U139"/>
    <mergeCell ref="O116:P116"/>
    <mergeCell ref="O119:P119"/>
    <mergeCell ref="Q116:R116"/>
    <mergeCell ref="Q115:R115"/>
    <mergeCell ref="Q113:R114"/>
    <mergeCell ref="O111:R112"/>
    <mergeCell ref="J71:K71"/>
    <mergeCell ref="J75:K75"/>
    <mergeCell ref="L91:M91"/>
    <mergeCell ref="L71:M71"/>
    <mergeCell ref="J73:K73"/>
    <mergeCell ref="J76:K76"/>
    <mergeCell ref="L75:M75"/>
    <mergeCell ref="R71:V71"/>
    <mergeCell ref="L82:M82"/>
    <mergeCell ref="L79:M79"/>
    <mergeCell ref="O82:P83"/>
    <mergeCell ref="J72:K72"/>
    <mergeCell ref="J91:K91"/>
    <mergeCell ref="L90:M90"/>
    <mergeCell ref="J78:K78"/>
    <mergeCell ref="J74:K74"/>
    <mergeCell ref="J80:K80"/>
    <mergeCell ref="J77:K77"/>
    <mergeCell ref="J83:K87"/>
    <mergeCell ref="J90:K90"/>
    <mergeCell ref="O10:Q17"/>
    <mergeCell ref="L57:M61"/>
    <mergeCell ref="L32:M37"/>
    <mergeCell ref="O32:Q37"/>
    <mergeCell ref="O71:Q71"/>
    <mergeCell ref="Q80:V80"/>
    <mergeCell ref="Q81:S81"/>
    <mergeCell ref="T81:V81"/>
    <mergeCell ref="L77:M77"/>
    <mergeCell ref="L80:M80"/>
    <mergeCell ref="L78:M78"/>
    <mergeCell ref="L73:M73"/>
    <mergeCell ref="L76:M76"/>
    <mergeCell ref="L43:M43"/>
    <mergeCell ref="L44:M44"/>
    <mergeCell ref="O19:Q28"/>
    <mergeCell ref="O40:Q45"/>
    <mergeCell ref="O70:Y70"/>
    <mergeCell ref="L41:M41"/>
    <mergeCell ref="L48:M48"/>
    <mergeCell ref="B47:M47"/>
    <mergeCell ref="H48:I48"/>
    <mergeCell ref="L46:M46"/>
    <mergeCell ref="J46:K46"/>
    <mergeCell ref="B73:C73"/>
    <mergeCell ref="B20:B21"/>
    <mergeCell ref="B22:B23"/>
    <mergeCell ref="H55:I55"/>
    <mergeCell ref="B31:C31"/>
    <mergeCell ref="H35:I35"/>
    <mergeCell ref="H40:I45"/>
    <mergeCell ref="H46:I46"/>
    <mergeCell ref="B68:C68"/>
    <mergeCell ref="B69:C69"/>
    <mergeCell ref="B70:C70"/>
    <mergeCell ref="B71:C71"/>
    <mergeCell ref="B56:C56"/>
    <mergeCell ref="B30:F30"/>
    <mergeCell ref="G30:G31"/>
    <mergeCell ref="B24:B25"/>
    <mergeCell ref="B72:C72"/>
    <mergeCell ref="D48:F48"/>
    <mergeCell ref="H56:I56"/>
    <mergeCell ref="H60:I60"/>
    <mergeCell ref="H59:I59"/>
    <mergeCell ref="H64:I64"/>
    <mergeCell ref="H66:I70"/>
    <mergeCell ref="B67:C67"/>
    <mergeCell ref="B66:C66"/>
    <mergeCell ref="H57:I57"/>
    <mergeCell ref="B62:M62"/>
    <mergeCell ref="H65:I65"/>
    <mergeCell ref="H49:I54"/>
    <mergeCell ref="J56:K56"/>
    <mergeCell ref="L55:M55"/>
    <mergeCell ref="D56:F56"/>
    <mergeCell ref="H61:I61"/>
    <mergeCell ref="L56:M56"/>
    <mergeCell ref="J55:K55"/>
    <mergeCell ref="L49:M54"/>
    <mergeCell ref="B52:B53"/>
    <mergeCell ref="B50:B51"/>
    <mergeCell ref="L5:M5"/>
    <mergeCell ref="J4:K4"/>
    <mergeCell ref="G4:G5"/>
    <mergeCell ref="B5:F5"/>
    <mergeCell ref="H5:I5"/>
    <mergeCell ref="J5:K5"/>
    <mergeCell ref="H4:I4"/>
    <mergeCell ref="C26:M27"/>
    <mergeCell ref="L4:M4"/>
    <mergeCell ref="L13:M13"/>
    <mergeCell ref="L14:M14"/>
    <mergeCell ref="L10:M10"/>
    <mergeCell ref="L11:M11"/>
    <mergeCell ref="L12:M12"/>
    <mergeCell ref="B4:F4"/>
    <mergeCell ref="B10:B17"/>
    <mergeCell ref="C19:M19"/>
    <mergeCell ref="C20:M21"/>
    <mergeCell ref="B26:B27"/>
    <mergeCell ref="C22:M23"/>
    <mergeCell ref="C24:M25"/>
    <mergeCell ref="L16:M16"/>
    <mergeCell ref="L15:M15"/>
    <mergeCell ref="L17:M17"/>
    <mergeCell ref="H16:I16"/>
    <mergeCell ref="H11:I11"/>
    <mergeCell ref="L40:M40"/>
    <mergeCell ref="L45:M45"/>
    <mergeCell ref="H10:I10"/>
    <mergeCell ref="L31:M31"/>
    <mergeCell ref="H12:I12"/>
    <mergeCell ref="L30:M30"/>
    <mergeCell ref="C28:M28"/>
    <mergeCell ref="H39:I39"/>
    <mergeCell ref="H17:I17"/>
    <mergeCell ref="H15:I15"/>
    <mergeCell ref="H13:I13"/>
    <mergeCell ref="H30:I30"/>
    <mergeCell ref="H31:I31"/>
    <mergeCell ref="J31:K31"/>
    <mergeCell ref="H36:I36"/>
    <mergeCell ref="J30:K30"/>
    <mergeCell ref="H14:I14"/>
    <mergeCell ref="H134:I134"/>
    <mergeCell ref="H135:I135"/>
    <mergeCell ref="H136:I136"/>
    <mergeCell ref="J132:K136"/>
    <mergeCell ref="L140:M142"/>
    <mergeCell ref="L129:M129"/>
    <mergeCell ref="H140:I140"/>
    <mergeCell ref="H141:I141"/>
    <mergeCell ref="L131:M131"/>
    <mergeCell ref="M145:M146"/>
    <mergeCell ref="D145:F146"/>
    <mergeCell ref="H146:I146"/>
    <mergeCell ref="C144:C145"/>
    <mergeCell ref="J157:K157"/>
    <mergeCell ref="J154:K154"/>
    <mergeCell ref="L144:M144"/>
    <mergeCell ref="B146:C146"/>
    <mergeCell ref="J146:K146"/>
    <mergeCell ref="L150:M150"/>
    <mergeCell ref="J145:K145"/>
    <mergeCell ref="L151:M151"/>
    <mergeCell ref="J150:K150"/>
    <mergeCell ref="A147:M147"/>
    <mergeCell ref="B150:F150"/>
    <mergeCell ref="H150:I150"/>
    <mergeCell ref="B74:C74"/>
    <mergeCell ref="H87:I87"/>
    <mergeCell ref="D143:F144"/>
    <mergeCell ref="B84:C84"/>
    <mergeCell ref="H92:I92"/>
    <mergeCell ref="D125:F125"/>
    <mergeCell ref="B103:F103"/>
    <mergeCell ref="B106:F106"/>
    <mergeCell ref="B108:F108"/>
    <mergeCell ref="B122:F122"/>
    <mergeCell ref="B116:F116"/>
    <mergeCell ref="H113:I113"/>
    <mergeCell ref="B112:F112"/>
    <mergeCell ref="B95:F95"/>
    <mergeCell ref="B99:F99"/>
    <mergeCell ref="B98:F98"/>
    <mergeCell ref="B93:F93"/>
    <mergeCell ref="H142:I142"/>
    <mergeCell ref="H143:I143"/>
    <mergeCell ref="D128:F128"/>
    <mergeCell ref="H132:I132"/>
    <mergeCell ref="H133:I133"/>
    <mergeCell ref="G89:G90"/>
    <mergeCell ref="H90:I90"/>
    <mergeCell ref="H127:I127"/>
    <mergeCell ref="H94:I94"/>
    <mergeCell ref="H95:I95"/>
    <mergeCell ref="B85:C85"/>
    <mergeCell ref="B94:F94"/>
    <mergeCell ref="B89:F89"/>
    <mergeCell ref="H85:I85"/>
    <mergeCell ref="H84:I84"/>
    <mergeCell ref="H82:I82"/>
    <mergeCell ref="B92:F92"/>
    <mergeCell ref="B115:F115"/>
    <mergeCell ref="H123:I123"/>
    <mergeCell ref="F105:M105"/>
    <mergeCell ref="B111:F111"/>
    <mergeCell ref="J100:K100"/>
    <mergeCell ref="J99:K99"/>
    <mergeCell ref="L99:M99"/>
    <mergeCell ref="B109:F109"/>
    <mergeCell ref="B107:F107"/>
    <mergeCell ref="J111:K111"/>
    <mergeCell ref="H109:I109"/>
    <mergeCell ref="L103:M103"/>
    <mergeCell ref="H111:I111"/>
    <mergeCell ref="L93:M93"/>
    <mergeCell ref="A2:E2"/>
    <mergeCell ref="L42:M42"/>
    <mergeCell ref="L154:M154"/>
    <mergeCell ref="C15:C16"/>
    <mergeCell ref="C13:C14"/>
    <mergeCell ref="D114:F114"/>
    <mergeCell ref="B102:F102"/>
    <mergeCell ref="B105:C105"/>
    <mergeCell ref="B96:F96"/>
    <mergeCell ref="B100:F100"/>
    <mergeCell ref="D126:F126"/>
    <mergeCell ref="B127:C127"/>
    <mergeCell ref="B125:C125"/>
    <mergeCell ref="D124:F124"/>
    <mergeCell ref="B110:F110"/>
    <mergeCell ref="B124:C124"/>
    <mergeCell ref="D123:F123"/>
    <mergeCell ref="B117:F117"/>
    <mergeCell ref="B83:C83"/>
    <mergeCell ref="B79:C79"/>
    <mergeCell ref="H93:I93"/>
    <mergeCell ref="H86:I86"/>
    <mergeCell ref="B82:F82"/>
    <mergeCell ref="H83:I83"/>
    <mergeCell ref="O57:Q61"/>
    <mergeCell ref="A32:A37"/>
    <mergeCell ref="H37:I37"/>
    <mergeCell ref="J32:K32"/>
    <mergeCell ref="J33:K33"/>
    <mergeCell ref="J34:K34"/>
    <mergeCell ref="J35:K35"/>
    <mergeCell ref="J36:K36"/>
    <mergeCell ref="H34:I34"/>
    <mergeCell ref="B40:B41"/>
    <mergeCell ref="B32:B33"/>
    <mergeCell ref="B39:C39"/>
    <mergeCell ref="B38:M38"/>
    <mergeCell ref="L39:M39"/>
    <mergeCell ref="H32:I32"/>
    <mergeCell ref="H33:I33"/>
    <mergeCell ref="A40:A41"/>
    <mergeCell ref="J40:K45"/>
    <mergeCell ref="A49:A54"/>
    <mergeCell ref="C40:C41"/>
    <mergeCell ref="J49:K54"/>
    <mergeCell ref="J37:K37"/>
    <mergeCell ref="AE167:AF167"/>
    <mergeCell ref="AE168:AF168"/>
    <mergeCell ref="AE169:AF169"/>
    <mergeCell ref="AD161:AF161"/>
    <mergeCell ref="V162:W162"/>
    <mergeCell ref="AD162:AF162"/>
    <mergeCell ref="Z162:AA162"/>
    <mergeCell ref="AC170:AD170"/>
    <mergeCell ref="AA169:AB169"/>
    <mergeCell ref="AA170:AB170"/>
    <mergeCell ref="AC167:AD167"/>
    <mergeCell ref="AE170:AF170"/>
    <mergeCell ref="Z152:AB152"/>
    <mergeCell ref="S152:T154"/>
    <mergeCell ref="U170:X170"/>
    <mergeCell ref="Y170:Z170"/>
    <mergeCell ref="H165:I165"/>
    <mergeCell ref="AB161:AC161"/>
    <mergeCell ref="AB162:AC162"/>
    <mergeCell ref="X161:Y161"/>
    <mergeCell ref="T162:U162"/>
    <mergeCell ref="X162:Y162"/>
    <mergeCell ref="Z161:AA161"/>
    <mergeCell ref="Q162:S162"/>
    <mergeCell ref="Q156:R156"/>
    <mergeCell ref="S155:T155"/>
    <mergeCell ref="S156:T156"/>
    <mergeCell ref="V161:W161"/>
    <mergeCell ref="T161:U161"/>
    <mergeCell ref="H167:I170"/>
    <mergeCell ref="L165:M165"/>
    <mergeCell ref="L166:M166"/>
    <mergeCell ref="J168:K168"/>
    <mergeCell ref="J167:K167"/>
    <mergeCell ref="O152:O153"/>
    <mergeCell ref="S165:T165"/>
    <mergeCell ref="L193:M193"/>
    <mergeCell ref="L194:M194"/>
    <mergeCell ref="H6:I9"/>
    <mergeCell ref="L6:M6"/>
    <mergeCell ref="L7:M7"/>
    <mergeCell ref="L8:M8"/>
    <mergeCell ref="L9:M9"/>
    <mergeCell ref="L174:M174"/>
    <mergeCell ref="H174:I177"/>
    <mergeCell ref="J174:K177"/>
    <mergeCell ref="L176:M176"/>
    <mergeCell ref="J170:K170"/>
    <mergeCell ref="J169:K169"/>
    <mergeCell ref="L172:M172"/>
    <mergeCell ref="L177:M177"/>
    <mergeCell ref="H91:I91"/>
    <mergeCell ref="J94:K94"/>
    <mergeCell ref="H96:I96"/>
    <mergeCell ref="L102:M102"/>
    <mergeCell ref="L97:M97"/>
    <mergeCell ref="H58:I58"/>
    <mergeCell ref="L101:M101"/>
    <mergeCell ref="H131:I131"/>
    <mergeCell ref="L98:M98"/>
    <mergeCell ref="L191:M191"/>
    <mergeCell ref="L192:M192"/>
    <mergeCell ref="B131:C131"/>
    <mergeCell ref="B128:C128"/>
    <mergeCell ref="J102:K102"/>
    <mergeCell ref="B101:F101"/>
    <mergeCell ref="H99:I104"/>
    <mergeCell ref="H98:I98"/>
    <mergeCell ref="L100:M100"/>
    <mergeCell ref="L104:M104"/>
    <mergeCell ref="J104:K104"/>
    <mergeCell ref="H107:I107"/>
    <mergeCell ref="D127:F127"/>
    <mergeCell ref="D129:F129"/>
    <mergeCell ref="B129:C129"/>
    <mergeCell ref="H108:I108"/>
    <mergeCell ref="H112:I112"/>
    <mergeCell ref="H151:I151"/>
    <mergeCell ref="B151:F151"/>
    <mergeCell ref="G150:G151"/>
    <mergeCell ref="D140:F141"/>
    <mergeCell ref="L122:M122"/>
    <mergeCell ref="J112:K112"/>
    <mergeCell ref="J122:K122"/>
    <mergeCell ref="H71:I71"/>
    <mergeCell ref="J39:K39"/>
    <mergeCell ref="J48:K48"/>
    <mergeCell ref="D162:F162"/>
    <mergeCell ref="D161:F161"/>
    <mergeCell ref="B163:M163"/>
    <mergeCell ref="H158:I162"/>
    <mergeCell ref="J158:K158"/>
    <mergeCell ref="J160:K160"/>
    <mergeCell ref="J162:K162"/>
    <mergeCell ref="D159:F159"/>
    <mergeCell ref="B77:C77"/>
    <mergeCell ref="B80:C80"/>
    <mergeCell ref="B123:C123"/>
    <mergeCell ref="B91:F91"/>
    <mergeCell ref="A130:M130"/>
    <mergeCell ref="B87:C87"/>
    <mergeCell ref="B90:F90"/>
    <mergeCell ref="B86:C86"/>
    <mergeCell ref="B78:C78"/>
    <mergeCell ref="B75:C75"/>
    <mergeCell ref="B76:C76"/>
    <mergeCell ref="L113:M113"/>
    <mergeCell ref="J131:K131"/>
    <mergeCell ref="H118:H119"/>
    <mergeCell ref="O118:P118"/>
    <mergeCell ref="H106:I106"/>
    <mergeCell ref="L110:M110"/>
    <mergeCell ref="J107:K107"/>
    <mergeCell ref="J96:K96"/>
    <mergeCell ref="J95:K95"/>
    <mergeCell ref="H72:I80"/>
    <mergeCell ref="J110:K110"/>
    <mergeCell ref="L109:M109"/>
    <mergeCell ref="J97:K97"/>
    <mergeCell ref="J108:K108"/>
    <mergeCell ref="L111:M111"/>
    <mergeCell ref="L107:M107"/>
    <mergeCell ref="L106:M106"/>
    <mergeCell ref="O5:Q6"/>
    <mergeCell ref="B6:B9"/>
    <mergeCell ref="H89:I89"/>
    <mergeCell ref="S166:T166"/>
    <mergeCell ref="S167:T167"/>
    <mergeCell ref="S168:T168"/>
    <mergeCell ref="S169:T169"/>
    <mergeCell ref="S170:T170"/>
    <mergeCell ref="O165:R166"/>
    <mergeCell ref="B161:C162"/>
    <mergeCell ref="Q161:S161"/>
    <mergeCell ref="G165:G166"/>
    <mergeCell ref="H166:I166"/>
    <mergeCell ref="J166:K166"/>
    <mergeCell ref="J165:K165"/>
    <mergeCell ref="B166:F166"/>
    <mergeCell ref="B165:F165"/>
    <mergeCell ref="J6:K9"/>
    <mergeCell ref="J10:K12"/>
    <mergeCell ref="J13:K17"/>
    <mergeCell ref="O49:Q54"/>
    <mergeCell ref="Q118:R118"/>
    <mergeCell ref="O64:Q68"/>
    <mergeCell ref="I118:I119"/>
  </mergeCells>
  <phoneticPr fontId="10" type="noConversion"/>
  <pageMargins left="0.39370078740157483" right="0.22" top="0.78740157480314965" bottom="0.59055118110236227" header="0.35433070866141736" footer="0.15748031496062992"/>
  <pageSetup paperSize="9" orientation="portrait" horizontalDpi="300" verticalDpi="300" r:id="rId1"/>
  <headerFooter alignWithMargins="0"/>
  <ignoredErrors>
    <ignoredError sqref="F17 L10:L16 J32:J37 L40:L45 F57 L174:L176 L7:L9 F46 S170" unlockedFormula="1"/>
    <ignoredError sqref="O11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36D5-11CB-43DE-AD20-82871C2C5DB8}">
  <dimension ref="B2:F35"/>
  <sheetViews>
    <sheetView workbookViewId="0">
      <selection activeCell="L28" sqref="L28"/>
    </sheetView>
  </sheetViews>
  <sheetFormatPr baseColWidth="10" defaultRowHeight="12.75"/>
  <cols>
    <col min="1" max="1" width="2" customWidth="1"/>
    <col min="2" max="2" width="19" customWidth="1"/>
    <col min="3" max="3" width="11.140625" customWidth="1"/>
    <col min="4" max="4" width="2.85546875" customWidth="1"/>
    <col min="5" max="5" width="19.28515625" customWidth="1"/>
    <col min="6" max="6" width="12.85546875" customWidth="1"/>
  </cols>
  <sheetData>
    <row r="2" spans="2:6" s="1" customFormat="1" ht="20.25" customHeight="1">
      <c r="B2" s="354" t="s">
        <v>1024</v>
      </c>
      <c r="C2" s="266"/>
      <c r="D2" s="266"/>
    </row>
    <row r="3" spans="2:6">
      <c r="B3" s="2035" t="s">
        <v>1190</v>
      </c>
      <c r="C3" s="2036" t="s">
        <v>1194</v>
      </c>
      <c r="D3" s="507"/>
      <c r="E3" s="2035" t="s">
        <v>1192</v>
      </c>
      <c r="F3" s="2036" t="s">
        <v>1194</v>
      </c>
    </row>
    <row r="4" spans="2:6">
      <c r="B4" s="511" t="s">
        <v>961</v>
      </c>
      <c r="C4" s="502">
        <v>120</v>
      </c>
      <c r="D4" s="503"/>
      <c r="E4" s="516" t="s">
        <v>962</v>
      </c>
      <c r="F4" s="502">
        <v>125</v>
      </c>
    </row>
    <row r="5" spans="2:6">
      <c r="B5" s="512" t="s">
        <v>963</v>
      </c>
      <c r="C5" s="504">
        <v>21</v>
      </c>
      <c r="D5" s="503"/>
      <c r="E5" s="517" t="s">
        <v>964</v>
      </c>
      <c r="F5" s="504">
        <v>160</v>
      </c>
    </row>
    <row r="6" spans="2:6">
      <c r="B6" s="512" t="s">
        <v>965</v>
      </c>
      <c r="C6" s="504">
        <v>5</v>
      </c>
      <c r="D6" s="503"/>
      <c r="E6" s="517" t="s">
        <v>966</v>
      </c>
      <c r="F6" s="504">
        <v>160</v>
      </c>
    </row>
    <row r="7" spans="2:6">
      <c r="B7" s="512" t="s">
        <v>967</v>
      </c>
      <c r="C7" s="504">
        <v>85</v>
      </c>
      <c r="D7" s="503"/>
      <c r="E7" s="517" t="s">
        <v>968</v>
      </c>
      <c r="F7" s="504">
        <v>70</v>
      </c>
    </row>
    <row r="8" spans="2:6">
      <c r="B8" s="512" t="s">
        <v>969</v>
      </c>
      <c r="C8" s="504">
        <v>10</v>
      </c>
      <c r="D8" s="503"/>
      <c r="E8" s="517" t="s">
        <v>970</v>
      </c>
      <c r="F8" s="504">
        <v>105</v>
      </c>
    </row>
    <row r="9" spans="2:6">
      <c r="B9" s="512" t="s">
        <v>971</v>
      </c>
      <c r="C9" s="504">
        <v>100</v>
      </c>
      <c r="D9" s="503"/>
      <c r="E9" s="517" t="s">
        <v>972</v>
      </c>
      <c r="F9" s="504">
        <v>120</v>
      </c>
    </row>
    <row r="10" spans="2:6">
      <c r="B10" s="512" t="s">
        <v>973</v>
      </c>
      <c r="C10" s="504">
        <v>120</v>
      </c>
      <c r="D10" s="503"/>
      <c r="E10" s="517" t="s">
        <v>974</v>
      </c>
      <c r="F10" s="504">
        <v>150</v>
      </c>
    </row>
    <row r="11" spans="2:6">
      <c r="B11" s="512" t="s">
        <v>975</v>
      </c>
      <c r="C11" s="504">
        <v>100</v>
      </c>
      <c r="D11" s="503"/>
      <c r="E11" s="517" t="s">
        <v>976</v>
      </c>
      <c r="F11" s="504">
        <v>130</v>
      </c>
    </row>
    <row r="12" spans="2:6">
      <c r="B12" s="512" t="s">
        <v>977</v>
      </c>
      <c r="C12" s="504">
        <v>95</v>
      </c>
      <c r="D12" s="503"/>
      <c r="E12" s="517" t="s">
        <v>978</v>
      </c>
      <c r="F12" s="504">
        <v>105</v>
      </c>
    </row>
    <row r="13" spans="2:6">
      <c r="B13" s="512" t="s">
        <v>979</v>
      </c>
      <c r="C13" s="504">
        <v>95</v>
      </c>
      <c r="D13" s="503"/>
      <c r="E13" s="517" t="s">
        <v>980</v>
      </c>
      <c r="F13" s="504">
        <v>75</v>
      </c>
    </row>
    <row r="14" spans="2:6">
      <c r="B14" s="512" t="s">
        <v>981</v>
      </c>
      <c r="C14" s="504">
        <v>120</v>
      </c>
      <c r="D14" s="503"/>
      <c r="E14" s="517" t="s">
        <v>982</v>
      </c>
      <c r="F14" s="504">
        <v>170</v>
      </c>
    </row>
    <row r="15" spans="2:6">
      <c r="B15" s="512" t="s">
        <v>983</v>
      </c>
      <c r="C15" s="504">
        <v>80</v>
      </c>
      <c r="D15" s="503"/>
      <c r="E15" s="517" t="s">
        <v>984</v>
      </c>
      <c r="F15" s="504">
        <v>130</v>
      </c>
    </row>
    <row r="16" spans="2:6">
      <c r="B16" s="513" t="s">
        <v>985</v>
      </c>
      <c r="C16" s="505">
        <v>25</v>
      </c>
      <c r="D16" s="503"/>
      <c r="E16" s="517" t="s">
        <v>986</v>
      </c>
      <c r="F16" s="504">
        <v>80</v>
      </c>
    </row>
    <row r="17" spans="2:6">
      <c r="B17" s="2034" t="s">
        <v>1191</v>
      </c>
      <c r="C17" s="502"/>
      <c r="D17" s="503"/>
      <c r="E17" s="517" t="s">
        <v>987</v>
      </c>
      <c r="F17" s="504">
        <v>85</v>
      </c>
    </row>
    <row r="18" spans="2:6">
      <c r="B18" s="511" t="s">
        <v>988</v>
      </c>
      <c r="C18" s="502">
        <v>140</v>
      </c>
      <c r="D18" s="503"/>
      <c r="E18" s="517" t="s">
        <v>989</v>
      </c>
      <c r="F18" s="504">
        <v>80</v>
      </c>
    </row>
    <row r="19" spans="2:6">
      <c r="B19" s="512" t="s">
        <v>990</v>
      </c>
      <c r="C19" s="504">
        <v>125</v>
      </c>
      <c r="D19" s="503"/>
      <c r="E19" s="517" t="s">
        <v>991</v>
      </c>
      <c r="F19" s="504">
        <v>90</v>
      </c>
    </row>
    <row r="20" spans="2:6">
      <c r="B20" s="512" t="s">
        <v>992</v>
      </c>
      <c r="C20" s="504">
        <v>165</v>
      </c>
      <c r="D20" s="503"/>
      <c r="E20" s="517" t="s">
        <v>993</v>
      </c>
      <c r="F20" s="504">
        <v>50</v>
      </c>
    </row>
    <row r="21" spans="2:6">
      <c r="B21" s="512" t="s">
        <v>994</v>
      </c>
      <c r="C21" s="504">
        <v>280</v>
      </c>
      <c r="D21" s="503"/>
      <c r="E21" s="517" t="s">
        <v>995</v>
      </c>
      <c r="F21" s="504">
        <v>120</v>
      </c>
    </row>
    <row r="22" spans="2:6">
      <c r="B22" s="512" t="s">
        <v>996</v>
      </c>
      <c r="C22" s="504">
        <v>140</v>
      </c>
      <c r="D22" s="503"/>
      <c r="E22" s="517" t="s">
        <v>997</v>
      </c>
      <c r="F22" s="504">
        <v>145</v>
      </c>
    </row>
    <row r="23" spans="2:6">
      <c r="B23" s="512" t="s">
        <v>998</v>
      </c>
      <c r="C23" s="504">
        <v>240</v>
      </c>
      <c r="D23" s="503"/>
      <c r="E23" s="517" t="s">
        <v>999</v>
      </c>
      <c r="F23" s="504">
        <v>100</v>
      </c>
    </row>
    <row r="24" spans="2:6">
      <c r="B24" s="512" t="s">
        <v>1000</v>
      </c>
      <c r="C24" s="504">
        <v>160</v>
      </c>
      <c r="D24" s="503"/>
      <c r="E24" s="517" t="s">
        <v>1001</v>
      </c>
      <c r="F24" s="504">
        <v>135</v>
      </c>
    </row>
    <row r="25" spans="2:6">
      <c r="B25" s="512" t="s">
        <v>1002</v>
      </c>
      <c r="C25" s="504">
        <v>105</v>
      </c>
      <c r="D25" s="503"/>
      <c r="E25" s="517" t="s">
        <v>1003</v>
      </c>
      <c r="F25" s="504">
        <v>190</v>
      </c>
    </row>
    <row r="26" spans="2:6">
      <c r="B26" s="512" t="s">
        <v>1004</v>
      </c>
      <c r="C26" s="504">
        <v>145</v>
      </c>
      <c r="D26" s="503"/>
      <c r="E26" s="513" t="s">
        <v>1005</v>
      </c>
      <c r="F26" s="505">
        <v>65</v>
      </c>
    </row>
    <row r="27" spans="2:6">
      <c r="B27" s="512" t="s">
        <v>1006</v>
      </c>
      <c r="C27" s="504">
        <v>165</v>
      </c>
      <c r="D27" s="503"/>
      <c r="E27" s="2034" t="s">
        <v>1193</v>
      </c>
      <c r="F27" s="508"/>
    </row>
    <row r="28" spans="2:6">
      <c r="B28" s="512" t="s">
        <v>1007</v>
      </c>
      <c r="C28" s="504">
        <v>298</v>
      </c>
      <c r="D28" s="503"/>
      <c r="E28" s="516" t="s">
        <v>1008</v>
      </c>
      <c r="F28" s="509">
        <v>2.5000000000000001E-2</v>
      </c>
    </row>
    <row r="29" spans="2:6">
      <c r="B29" s="512" t="s">
        <v>1009</v>
      </c>
      <c r="C29" s="504">
        <v>50</v>
      </c>
      <c r="D29" s="503"/>
      <c r="E29" s="517" t="s">
        <v>954</v>
      </c>
      <c r="F29" s="504" t="s">
        <v>1010</v>
      </c>
    </row>
    <row r="30" spans="2:6">
      <c r="B30" s="512" t="s">
        <v>1011</v>
      </c>
      <c r="C30" s="504">
        <v>85</v>
      </c>
      <c r="D30" s="503"/>
      <c r="E30" s="517" t="s">
        <v>1012</v>
      </c>
      <c r="F30" s="504" t="s">
        <v>1013</v>
      </c>
    </row>
    <row r="31" spans="2:6">
      <c r="B31" s="512" t="s">
        <v>1014</v>
      </c>
      <c r="C31" s="504">
        <v>150</v>
      </c>
      <c r="D31" s="503"/>
      <c r="E31" s="517" t="s">
        <v>1015</v>
      </c>
      <c r="F31" s="504" t="s">
        <v>1016</v>
      </c>
    </row>
    <row r="32" spans="2:6">
      <c r="B32" s="512" t="s">
        <v>1017</v>
      </c>
      <c r="C32" s="504">
        <v>160</v>
      </c>
      <c r="D32" s="503"/>
      <c r="E32" s="517" t="s">
        <v>1018</v>
      </c>
      <c r="F32" s="504" t="s">
        <v>1019</v>
      </c>
    </row>
    <row r="33" spans="2:6">
      <c r="B33" s="514"/>
      <c r="C33" s="386"/>
      <c r="D33" s="506"/>
      <c r="E33" s="517" t="s">
        <v>1020</v>
      </c>
      <c r="F33" s="504" t="s">
        <v>1021</v>
      </c>
    </row>
    <row r="34" spans="2:6">
      <c r="B34" s="515"/>
      <c r="C34" s="388"/>
      <c r="D34" s="510"/>
      <c r="E34" s="518" t="s">
        <v>1022</v>
      </c>
      <c r="F34" s="2037" t="s">
        <v>1023</v>
      </c>
    </row>
    <row r="35" spans="2:6">
      <c r="F35" s="265" t="s">
        <v>1195</v>
      </c>
    </row>
  </sheetData>
  <sheetProtection algorithmName="SHA-512" hashValue="wsTr2KIcyjV/qJ7cRNioXRdm54Fh9q7gCQOCoSSokPH4q6+y4DVhZqfUwQFXc2WpHdmYQzP0PiamV7rP2HkDjA==" saltValue="9fWGLS8tINZ0jjBrXKOTKw==" spinCount="100000" sheet="1" objects="1" scenarios="1"/>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B1:H23"/>
  <sheetViews>
    <sheetView showGridLines="0" zoomScale="124" zoomScaleNormal="124" workbookViewId="0">
      <selection activeCell="D1" sqref="D1"/>
    </sheetView>
  </sheetViews>
  <sheetFormatPr baseColWidth="10" defaultColWidth="9.140625" defaultRowHeight="12.75"/>
  <cols>
    <col min="1" max="1" width="2.7109375" customWidth="1"/>
    <col min="2" max="2" width="13.85546875" customWidth="1"/>
    <col min="3" max="3" width="25.28515625" customWidth="1"/>
    <col min="4" max="4" width="17" customWidth="1"/>
    <col min="5" max="5" width="13" customWidth="1"/>
    <col min="6" max="6" width="14" customWidth="1"/>
    <col min="7" max="7" width="10.85546875" customWidth="1"/>
    <col min="8" max="8" width="22.7109375" customWidth="1"/>
    <col min="257" max="257" width="2.7109375" customWidth="1"/>
    <col min="258" max="258" width="14.7109375" customWidth="1"/>
    <col min="259" max="259" width="24" customWidth="1"/>
    <col min="260" max="260" width="20.28515625" customWidth="1"/>
    <col min="261" max="261" width="13" customWidth="1"/>
    <col min="262" max="262" width="14.5703125" customWidth="1"/>
    <col min="263" max="263" width="10.85546875" customWidth="1"/>
    <col min="264" max="264" width="22.7109375" customWidth="1"/>
    <col min="513" max="513" width="2.7109375" customWidth="1"/>
    <col min="514" max="514" width="14.7109375" customWidth="1"/>
    <col min="515" max="515" width="24" customWidth="1"/>
    <col min="516" max="516" width="20.28515625" customWidth="1"/>
    <col min="517" max="517" width="13" customWidth="1"/>
    <col min="518" max="518" width="14.5703125" customWidth="1"/>
    <col min="519" max="519" width="10.85546875" customWidth="1"/>
    <col min="520" max="520" width="22.7109375" customWidth="1"/>
    <col min="769" max="769" width="2.7109375" customWidth="1"/>
    <col min="770" max="770" width="14.7109375" customWidth="1"/>
    <col min="771" max="771" width="24" customWidth="1"/>
    <col min="772" max="772" width="20.28515625" customWidth="1"/>
    <col min="773" max="773" width="13" customWidth="1"/>
    <col min="774" max="774" width="14.5703125" customWidth="1"/>
    <col min="775" max="775" width="10.85546875" customWidth="1"/>
    <col min="776" max="776" width="22.7109375" customWidth="1"/>
    <col min="1025" max="1025" width="2.7109375" customWidth="1"/>
    <col min="1026" max="1026" width="14.7109375" customWidth="1"/>
    <col min="1027" max="1027" width="24" customWidth="1"/>
    <col min="1028" max="1028" width="20.28515625" customWidth="1"/>
    <col min="1029" max="1029" width="13" customWidth="1"/>
    <col min="1030" max="1030" width="14.5703125" customWidth="1"/>
    <col min="1031" max="1031" width="10.85546875" customWidth="1"/>
    <col min="1032" max="1032" width="22.7109375" customWidth="1"/>
    <col min="1281" max="1281" width="2.7109375" customWidth="1"/>
    <col min="1282" max="1282" width="14.7109375" customWidth="1"/>
    <col min="1283" max="1283" width="24" customWidth="1"/>
    <col min="1284" max="1284" width="20.28515625" customWidth="1"/>
    <col min="1285" max="1285" width="13" customWidth="1"/>
    <col min="1286" max="1286" width="14.5703125" customWidth="1"/>
    <col min="1287" max="1287" width="10.85546875" customWidth="1"/>
    <col min="1288" max="1288" width="22.7109375" customWidth="1"/>
    <col min="1537" max="1537" width="2.7109375" customWidth="1"/>
    <col min="1538" max="1538" width="14.7109375" customWidth="1"/>
    <col min="1539" max="1539" width="24" customWidth="1"/>
    <col min="1540" max="1540" width="20.28515625" customWidth="1"/>
    <col min="1541" max="1541" width="13" customWidth="1"/>
    <col min="1542" max="1542" width="14.5703125" customWidth="1"/>
    <col min="1543" max="1543" width="10.85546875" customWidth="1"/>
    <col min="1544" max="1544" width="22.7109375" customWidth="1"/>
    <col min="1793" max="1793" width="2.7109375" customWidth="1"/>
    <col min="1794" max="1794" width="14.7109375" customWidth="1"/>
    <col min="1795" max="1795" width="24" customWidth="1"/>
    <col min="1796" max="1796" width="20.28515625" customWidth="1"/>
    <col min="1797" max="1797" width="13" customWidth="1"/>
    <col min="1798" max="1798" width="14.5703125" customWidth="1"/>
    <col min="1799" max="1799" width="10.85546875" customWidth="1"/>
    <col min="1800" max="1800" width="22.7109375" customWidth="1"/>
    <col min="2049" max="2049" width="2.7109375" customWidth="1"/>
    <col min="2050" max="2050" width="14.7109375" customWidth="1"/>
    <col min="2051" max="2051" width="24" customWidth="1"/>
    <col min="2052" max="2052" width="20.28515625" customWidth="1"/>
    <col min="2053" max="2053" width="13" customWidth="1"/>
    <col min="2054" max="2054" width="14.5703125" customWidth="1"/>
    <col min="2055" max="2055" width="10.85546875" customWidth="1"/>
    <col min="2056" max="2056" width="22.7109375" customWidth="1"/>
    <col min="2305" max="2305" width="2.7109375" customWidth="1"/>
    <col min="2306" max="2306" width="14.7109375" customWidth="1"/>
    <col min="2307" max="2307" width="24" customWidth="1"/>
    <col min="2308" max="2308" width="20.28515625" customWidth="1"/>
    <col min="2309" max="2309" width="13" customWidth="1"/>
    <col min="2310" max="2310" width="14.5703125" customWidth="1"/>
    <col min="2311" max="2311" width="10.85546875" customWidth="1"/>
    <col min="2312" max="2312" width="22.7109375" customWidth="1"/>
    <col min="2561" max="2561" width="2.7109375" customWidth="1"/>
    <col min="2562" max="2562" width="14.7109375" customWidth="1"/>
    <col min="2563" max="2563" width="24" customWidth="1"/>
    <col min="2564" max="2564" width="20.28515625" customWidth="1"/>
    <col min="2565" max="2565" width="13" customWidth="1"/>
    <col min="2566" max="2566" width="14.5703125" customWidth="1"/>
    <col min="2567" max="2567" width="10.85546875" customWidth="1"/>
    <col min="2568" max="2568" width="22.7109375" customWidth="1"/>
    <col min="2817" max="2817" width="2.7109375" customWidth="1"/>
    <col min="2818" max="2818" width="14.7109375" customWidth="1"/>
    <col min="2819" max="2819" width="24" customWidth="1"/>
    <col min="2820" max="2820" width="20.28515625" customWidth="1"/>
    <col min="2821" max="2821" width="13" customWidth="1"/>
    <col min="2822" max="2822" width="14.5703125" customWidth="1"/>
    <col min="2823" max="2823" width="10.85546875" customWidth="1"/>
    <col min="2824" max="2824" width="22.7109375" customWidth="1"/>
    <col min="3073" max="3073" width="2.7109375" customWidth="1"/>
    <col min="3074" max="3074" width="14.7109375" customWidth="1"/>
    <col min="3075" max="3075" width="24" customWidth="1"/>
    <col min="3076" max="3076" width="20.28515625" customWidth="1"/>
    <col min="3077" max="3077" width="13" customWidth="1"/>
    <col min="3078" max="3078" width="14.5703125" customWidth="1"/>
    <col min="3079" max="3079" width="10.85546875" customWidth="1"/>
    <col min="3080" max="3080" width="22.7109375" customWidth="1"/>
    <col min="3329" max="3329" width="2.7109375" customWidth="1"/>
    <col min="3330" max="3330" width="14.7109375" customWidth="1"/>
    <col min="3331" max="3331" width="24" customWidth="1"/>
    <col min="3332" max="3332" width="20.28515625" customWidth="1"/>
    <col min="3333" max="3333" width="13" customWidth="1"/>
    <col min="3334" max="3334" width="14.5703125" customWidth="1"/>
    <col min="3335" max="3335" width="10.85546875" customWidth="1"/>
    <col min="3336" max="3336" width="22.7109375" customWidth="1"/>
    <col min="3585" max="3585" width="2.7109375" customWidth="1"/>
    <col min="3586" max="3586" width="14.7109375" customWidth="1"/>
    <col min="3587" max="3587" width="24" customWidth="1"/>
    <col min="3588" max="3588" width="20.28515625" customWidth="1"/>
    <col min="3589" max="3589" width="13" customWidth="1"/>
    <col min="3590" max="3590" width="14.5703125" customWidth="1"/>
    <col min="3591" max="3591" width="10.85546875" customWidth="1"/>
    <col min="3592" max="3592" width="22.7109375" customWidth="1"/>
    <col min="3841" max="3841" width="2.7109375" customWidth="1"/>
    <col min="3842" max="3842" width="14.7109375" customWidth="1"/>
    <col min="3843" max="3843" width="24" customWidth="1"/>
    <col min="3844" max="3844" width="20.28515625" customWidth="1"/>
    <col min="3845" max="3845" width="13" customWidth="1"/>
    <col min="3846" max="3846" width="14.5703125" customWidth="1"/>
    <col min="3847" max="3847" width="10.85546875" customWidth="1"/>
    <col min="3848" max="3848" width="22.7109375" customWidth="1"/>
    <col min="4097" max="4097" width="2.7109375" customWidth="1"/>
    <col min="4098" max="4098" width="14.7109375" customWidth="1"/>
    <col min="4099" max="4099" width="24" customWidth="1"/>
    <col min="4100" max="4100" width="20.28515625" customWidth="1"/>
    <col min="4101" max="4101" width="13" customWidth="1"/>
    <col min="4102" max="4102" width="14.5703125" customWidth="1"/>
    <col min="4103" max="4103" width="10.85546875" customWidth="1"/>
    <col min="4104" max="4104" width="22.7109375" customWidth="1"/>
    <col min="4353" max="4353" width="2.7109375" customWidth="1"/>
    <col min="4354" max="4354" width="14.7109375" customWidth="1"/>
    <col min="4355" max="4355" width="24" customWidth="1"/>
    <col min="4356" max="4356" width="20.28515625" customWidth="1"/>
    <col min="4357" max="4357" width="13" customWidth="1"/>
    <col min="4358" max="4358" width="14.5703125" customWidth="1"/>
    <col min="4359" max="4359" width="10.85546875" customWidth="1"/>
    <col min="4360" max="4360" width="22.7109375" customWidth="1"/>
    <col min="4609" max="4609" width="2.7109375" customWidth="1"/>
    <col min="4610" max="4610" width="14.7109375" customWidth="1"/>
    <col min="4611" max="4611" width="24" customWidth="1"/>
    <col min="4612" max="4612" width="20.28515625" customWidth="1"/>
    <col min="4613" max="4613" width="13" customWidth="1"/>
    <col min="4614" max="4614" width="14.5703125" customWidth="1"/>
    <col min="4615" max="4615" width="10.85546875" customWidth="1"/>
    <col min="4616" max="4616" width="22.7109375" customWidth="1"/>
    <col min="4865" max="4865" width="2.7109375" customWidth="1"/>
    <col min="4866" max="4866" width="14.7109375" customWidth="1"/>
    <col min="4867" max="4867" width="24" customWidth="1"/>
    <col min="4868" max="4868" width="20.28515625" customWidth="1"/>
    <col min="4869" max="4869" width="13" customWidth="1"/>
    <col min="4870" max="4870" width="14.5703125" customWidth="1"/>
    <col min="4871" max="4871" width="10.85546875" customWidth="1"/>
    <col min="4872" max="4872" width="22.7109375" customWidth="1"/>
    <col min="5121" max="5121" width="2.7109375" customWidth="1"/>
    <col min="5122" max="5122" width="14.7109375" customWidth="1"/>
    <col min="5123" max="5123" width="24" customWidth="1"/>
    <col min="5124" max="5124" width="20.28515625" customWidth="1"/>
    <col min="5125" max="5125" width="13" customWidth="1"/>
    <col min="5126" max="5126" width="14.5703125" customWidth="1"/>
    <col min="5127" max="5127" width="10.85546875" customWidth="1"/>
    <col min="5128" max="5128" width="22.7109375" customWidth="1"/>
    <col min="5377" max="5377" width="2.7109375" customWidth="1"/>
    <col min="5378" max="5378" width="14.7109375" customWidth="1"/>
    <col min="5379" max="5379" width="24" customWidth="1"/>
    <col min="5380" max="5380" width="20.28515625" customWidth="1"/>
    <col min="5381" max="5381" width="13" customWidth="1"/>
    <col min="5382" max="5382" width="14.5703125" customWidth="1"/>
    <col min="5383" max="5383" width="10.85546875" customWidth="1"/>
    <col min="5384" max="5384" width="22.7109375" customWidth="1"/>
    <col min="5633" max="5633" width="2.7109375" customWidth="1"/>
    <col min="5634" max="5634" width="14.7109375" customWidth="1"/>
    <col min="5635" max="5635" width="24" customWidth="1"/>
    <col min="5636" max="5636" width="20.28515625" customWidth="1"/>
    <col min="5637" max="5637" width="13" customWidth="1"/>
    <col min="5638" max="5638" width="14.5703125" customWidth="1"/>
    <col min="5639" max="5639" width="10.85546875" customWidth="1"/>
    <col min="5640" max="5640" width="22.7109375" customWidth="1"/>
    <col min="5889" max="5889" width="2.7109375" customWidth="1"/>
    <col min="5890" max="5890" width="14.7109375" customWidth="1"/>
    <col min="5891" max="5891" width="24" customWidth="1"/>
    <col min="5892" max="5892" width="20.28515625" customWidth="1"/>
    <col min="5893" max="5893" width="13" customWidth="1"/>
    <col min="5894" max="5894" width="14.5703125" customWidth="1"/>
    <col min="5895" max="5895" width="10.85546875" customWidth="1"/>
    <col min="5896" max="5896" width="22.7109375" customWidth="1"/>
    <col min="6145" max="6145" width="2.7109375" customWidth="1"/>
    <col min="6146" max="6146" width="14.7109375" customWidth="1"/>
    <col min="6147" max="6147" width="24" customWidth="1"/>
    <col min="6148" max="6148" width="20.28515625" customWidth="1"/>
    <col min="6149" max="6149" width="13" customWidth="1"/>
    <col min="6150" max="6150" width="14.5703125" customWidth="1"/>
    <col min="6151" max="6151" width="10.85546875" customWidth="1"/>
    <col min="6152" max="6152" width="22.7109375" customWidth="1"/>
    <col min="6401" max="6401" width="2.7109375" customWidth="1"/>
    <col min="6402" max="6402" width="14.7109375" customWidth="1"/>
    <col min="6403" max="6403" width="24" customWidth="1"/>
    <col min="6404" max="6404" width="20.28515625" customWidth="1"/>
    <col min="6405" max="6405" width="13" customWidth="1"/>
    <col min="6406" max="6406" width="14.5703125" customWidth="1"/>
    <col min="6407" max="6407" width="10.85546875" customWidth="1"/>
    <col min="6408" max="6408" width="22.7109375" customWidth="1"/>
    <col min="6657" max="6657" width="2.7109375" customWidth="1"/>
    <col min="6658" max="6658" width="14.7109375" customWidth="1"/>
    <col min="6659" max="6659" width="24" customWidth="1"/>
    <col min="6660" max="6660" width="20.28515625" customWidth="1"/>
    <col min="6661" max="6661" width="13" customWidth="1"/>
    <col min="6662" max="6662" width="14.5703125" customWidth="1"/>
    <col min="6663" max="6663" width="10.85546875" customWidth="1"/>
    <col min="6664" max="6664" width="22.7109375" customWidth="1"/>
    <col min="6913" max="6913" width="2.7109375" customWidth="1"/>
    <col min="6914" max="6914" width="14.7109375" customWidth="1"/>
    <col min="6915" max="6915" width="24" customWidth="1"/>
    <col min="6916" max="6916" width="20.28515625" customWidth="1"/>
    <col min="6917" max="6917" width="13" customWidth="1"/>
    <col min="6918" max="6918" width="14.5703125" customWidth="1"/>
    <col min="6919" max="6919" width="10.85546875" customWidth="1"/>
    <col min="6920" max="6920" width="22.7109375" customWidth="1"/>
    <col min="7169" max="7169" width="2.7109375" customWidth="1"/>
    <col min="7170" max="7170" width="14.7109375" customWidth="1"/>
    <col min="7171" max="7171" width="24" customWidth="1"/>
    <col min="7172" max="7172" width="20.28515625" customWidth="1"/>
    <col min="7173" max="7173" width="13" customWidth="1"/>
    <col min="7174" max="7174" width="14.5703125" customWidth="1"/>
    <col min="7175" max="7175" width="10.85546875" customWidth="1"/>
    <col min="7176" max="7176" width="22.7109375" customWidth="1"/>
    <col min="7425" max="7425" width="2.7109375" customWidth="1"/>
    <col min="7426" max="7426" width="14.7109375" customWidth="1"/>
    <col min="7427" max="7427" width="24" customWidth="1"/>
    <col min="7428" max="7428" width="20.28515625" customWidth="1"/>
    <col min="7429" max="7429" width="13" customWidth="1"/>
    <col min="7430" max="7430" width="14.5703125" customWidth="1"/>
    <col min="7431" max="7431" width="10.85546875" customWidth="1"/>
    <col min="7432" max="7432" width="22.7109375" customWidth="1"/>
    <col min="7681" max="7681" width="2.7109375" customWidth="1"/>
    <col min="7682" max="7682" width="14.7109375" customWidth="1"/>
    <col min="7683" max="7683" width="24" customWidth="1"/>
    <col min="7684" max="7684" width="20.28515625" customWidth="1"/>
    <col min="7685" max="7685" width="13" customWidth="1"/>
    <col min="7686" max="7686" width="14.5703125" customWidth="1"/>
    <col min="7687" max="7687" width="10.85546875" customWidth="1"/>
    <col min="7688" max="7688" width="22.7109375" customWidth="1"/>
    <col min="7937" max="7937" width="2.7109375" customWidth="1"/>
    <col min="7938" max="7938" width="14.7109375" customWidth="1"/>
    <col min="7939" max="7939" width="24" customWidth="1"/>
    <col min="7940" max="7940" width="20.28515625" customWidth="1"/>
    <col min="7941" max="7941" width="13" customWidth="1"/>
    <col min="7942" max="7942" width="14.5703125" customWidth="1"/>
    <col min="7943" max="7943" width="10.85546875" customWidth="1"/>
    <col min="7944" max="7944" width="22.7109375" customWidth="1"/>
    <col min="8193" max="8193" width="2.7109375" customWidth="1"/>
    <col min="8194" max="8194" width="14.7109375" customWidth="1"/>
    <col min="8195" max="8195" width="24" customWidth="1"/>
    <col min="8196" max="8196" width="20.28515625" customWidth="1"/>
    <col min="8197" max="8197" width="13" customWidth="1"/>
    <col min="8198" max="8198" width="14.5703125" customWidth="1"/>
    <col min="8199" max="8199" width="10.85546875" customWidth="1"/>
    <col min="8200" max="8200" width="22.7109375" customWidth="1"/>
    <col min="8449" max="8449" width="2.7109375" customWidth="1"/>
    <col min="8450" max="8450" width="14.7109375" customWidth="1"/>
    <col min="8451" max="8451" width="24" customWidth="1"/>
    <col min="8452" max="8452" width="20.28515625" customWidth="1"/>
    <col min="8453" max="8453" width="13" customWidth="1"/>
    <col min="8454" max="8454" width="14.5703125" customWidth="1"/>
    <col min="8455" max="8455" width="10.85546875" customWidth="1"/>
    <col min="8456" max="8456" width="22.7109375" customWidth="1"/>
    <col min="8705" max="8705" width="2.7109375" customWidth="1"/>
    <col min="8706" max="8706" width="14.7109375" customWidth="1"/>
    <col min="8707" max="8707" width="24" customWidth="1"/>
    <col min="8708" max="8708" width="20.28515625" customWidth="1"/>
    <col min="8709" max="8709" width="13" customWidth="1"/>
    <col min="8710" max="8710" width="14.5703125" customWidth="1"/>
    <col min="8711" max="8711" width="10.85546875" customWidth="1"/>
    <col min="8712" max="8712" width="22.7109375" customWidth="1"/>
    <col min="8961" max="8961" width="2.7109375" customWidth="1"/>
    <col min="8962" max="8962" width="14.7109375" customWidth="1"/>
    <col min="8963" max="8963" width="24" customWidth="1"/>
    <col min="8964" max="8964" width="20.28515625" customWidth="1"/>
    <col min="8965" max="8965" width="13" customWidth="1"/>
    <col min="8966" max="8966" width="14.5703125" customWidth="1"/>
    <col min="8967" max="8967" width="10.85546875" customWidth="1"/>
    <col min="8968" max="8968" width="22.7109375" customWidth="1"/>
    <col min="9217" max="9217" width="2.7109375" customWidth="1"/>
    <col min="9218" max="9218" width="14.7109375" customWidth="1"/>
    <col min="9219" max="9219" width="24" customWidth="1"/>
    <col min="9220" max="9220" width="20.28515625" customWidth="1"/>
    <col min="9221" max="9221" width="13" customWidth="1"/>
    <col min="9222" max="9222" width="14.5703125" customWidth="1"/>
    <col min="9223" max="9223" width="10.85546875" customWidth="1"/>
    <col min="9224" max="9224" width="22.7109375" customWidth="1"/>
    <col min="9473" max="9473" width="2.7109375" customWidth="1"/>
    <col min="9474" max="9474" width="14.7109375" customWidth="1"/>
    <col min="9475" max="9475" width="24" customWidth="1"/>
    <col min="9476" max="9476" width="20.28515625" customWidth="1"/>
    <col min="9477" max="9477" width="13" customWidth="1"/>
    <col min="9478" max="9478" width="14.5703125" customWidth="1"/>
    <col min="9479" max="9479" width="10.85546875" customWidth="1"/>
    <col min="9480" max="9480" width="22.7109375" customWidth="1"/>
    <col min="9729" max="9729" width="2.7109375" customWidth="1"/>
    <col min="9730" max="9730" width="14.7109375" customWidth="1"/>
    <col min="9731" max="9731" width="24" customWidth="1"/>
    <col min="9732" max="9732" width="20.28515625" customWidth="1"/>
    <col min="9733" max="9733" width="13" customWidth="1"/>
    <col min="9734" max="9734" width="14.5703125" customWidth="1"/>
    <col min="9735" max="9735" width="10.85546875" customWidth="1"/>
    <col min="9736" max="9736" width="22.7109375" customWidth="1"/>
    <col min="9985" max="9985" width="2.7109375" customWidth="1"/>
    <col min="9986" max="9986" width="14.7109375" customWidth="1"/>
    <col min="9987" max="9987" width="24" customWidth="1"/>
    <col min="9988" max="9988" width="20.28515625" customWidth="1"/>
    <col min="9989" max="9989" width="13" customWidth="1"/>
    <col min="9990" max="9990" width="14.5703125" customWidth="1"/>
    <col min="9991" max="9991" width="10.85546875" customWidth="1"/>
    <col min="9992" max="9992" width="22.7109375" customWidth="1"/>
    <col min="10241" max="10241" width="2.7109375" customWidth="1"/>
    <col min="10242" max="10242" width="14.7109375" customWidth="1"/>
    <col min="10243" max="10243" width="24" customWidth="1"/>
    <col min="10244" max="10244" width="20.28515625" customWidth="1"/>
    <col min="10245" max="10245" width="13" customWidth="1"/>
    <col min="10246" max="10246" width="14.5703125" customWidth="1"/>
    <col min="10247" max="10247" width="10.85546875" customWidth="1"/>
    <col min="10248" max="10248" width="22.7109375" customWidth="1"/>
    <col min="10497" max="10497" width="2.7109375" customWidth="1"/>
    <col min="10498" max="10498" width="14.7109375" customWidth="1"/>
    <col min="10499" max="10499" width="24" customWidth="1"/>
    <col min="10500" max="10500" width="20.28515625" customWidth="1"/>
    <col min="10501" max="10501" width="13" customWidth="1"/>
    <col min="10502" max="10502" width="14.5703125" customWidth="1"/>
    <col min="10503" max="10503" width="10.85546875" customWidth="1"/>
    <col min="10504" max="10504" width="22.7109375" customWidth="1"/>
    <col min="10753" max="10753" width="2.7109375" customWidth="1"/>
    <col min="10754" max="10754" width="14.7109375" customWidth="1"/>
    <col min="10755" max="10755" width="24" customWidth="1"/>
    <col min="10756" max="10756" width="20.28515625" customWidth="1"/>
    <col min="10757" max="10757" width="13" customWidth="1"/>
    <col min="10758" max="10758" width="14.5703125" customWidth="1"/>
    <col min="10759" max="10759" width="10.85546875" customWidth="1"/>
    <col min="10760" max="10760" width="22.7109375" customWidth="1"/>
    <col min="11009" max="11009" width="2.7109375" customWidth="1"/>
    <col min="11010" max="11010" width="14.7109375" customWidth="1"/>
    <col min="11011" max="11011" width="24" customWidth="1"/>
    <col min="11012" max="11012" width="20.28515625" customWidth="1"/>
    <col min="11013" max="11013" width="13" customWidth="1"/>
    <col min="11014" max="11014" width="14.5703125" customWidth="1"/>
    <col min="11015" max="11015" width="10.85546875" customWidth="1"/>
    <col min="11016" max="11016" width="22.7109375" customWidth="1"/>
    <col min="11265" max="11265" width="2.7109375" customWidth="1"/>
    <col min="11266" max="11266" width="14.7109375" customWidth="1"/>
    <col min="11267" max="11267" width="24" customWidth="1"/>
    <col min="11268" max="11268" width="20.28515625" customWidth="1"/>
    <col min="11269" max="11269" width="13" customWidth="1"/>
    <col min="11270" max="11270" width="14.5703125" customWidth="1"/>
    <col min="11271" max="11271" width="10.85546875" customWidth="1"/>
    <col min="11272" max="11272" width="22.7109375" customWidth="1"/>
    <col min="11521" max="11521" width="2.7109375" customWidth="1"/>
    <col min="11522" max="11522" width="14.7109375" customWidth="1"/>
    <col min="11523" max="11523" width="24" customWidth="1"/>
    <col min="11524" max="11524" width="20.28515625" customWidth="1"/>
    <col min="11525" max="11525" width="13" customWidth="1"/>
    <col min="11526" max="11526" width="14.5703125" customWidth="1"/>
    <col min="11527" max="11527" width="10.85546875" customWidth="1"/>
    <col min="11528" max="11528" width="22.7109375" customWidth="1"/>
    <col min="11777" max="11777" width="2.7109375" customWidth="1"/>
    <col min="11778" max="11778" width="14.7109375" customWidth="1"/>
    <col min="11779" max="11779" width="24" customWidth="1"/>
    <col min="11780" max="11780" width="20.28515625" customWidth="1"/>
    <col min="11781" max="11781" width="13" customWidth="1"/>
    <col min="11782" max="11782" width="14.5703125" customWidth="1"/>
    <col min="11783" max="11783" width="10.85546875" customWidth="1"/>
    <col min="11784" max="11784" width="22.7109375" customWidth="1"/>
    <col min="12033" max="12033" width="2.7109375" customWidth="1"/>
    <col min="12034" max="12034" width="14.7109375" customWidth="1"/>
    <col min="12035" max="12035" width="24" customWidth="1"/>
    <col min="12036" max="12036" width="20.28515625" customWidth="1"/>
    <col min="12037" max="12037" width="13" customWidth="1"/>
    <col min="12038" max="12038" width="14.5703125" customWidth="1"/>
    <col min="12039" max="12039" width="10.85546875" customWidth="1"/>
    <col min="12040" max="12040" width="22.7109375" customWidth="1"/>
    <col min="12289" max="12289" width="2.7109375" customWidth="1"/>
    <col min="12290" max="12290" width="14.7109375" customWidth="1"/>
    <col min="12291" max="12291" width="24" customWidth="1"/>
    <col min="12292" max="12292" width="20.28515625" customWidth="1"/>
    <col min="12293" max="12293" width="13" customWidth="1"/>
    <col min="12294" max="12294" width="14.5703125" customWidth="1"/>
    <col min="12295" max="12295" width="10.85546875" customWidth="1"/>
    <col min="12296" max="12296" width="22.7109375" customWidth="1"/>
    <col min="12545" max="12545" width="2.7109375" customWidth="1"/>
    <col min="12546" max="12546" width="14.7109375" customWidth="1"/>
    <col min="12547" max="12547" width="24" customWidth="1"/>
    <col min="12548" max="12548" width="20.28515625" customWidth="1"/>
    <col min="12549" max="12549" width="13" customWidth="1"/>
    <col min="12550" max="12550" width="14.5703125" customWidth="1"/>
    <col min="12551" max="12551" width="10.85546875" customWidth="1"/>
    <col min="12552" max="12552" width="22.7109375" customWidth="1"/>
    <col min="12801" max="12801" width="2.7109375" customWidth="1"/>
    <col min="12802" max="12802" width="14.7109375" customWidth="1"/>
    <col min="12803" max="12803" width="24" customWidth="1"/>
    <col min="12804" max="12804" width="20.28515625" customWidth="1"/>
    <col min="12805" max="12805" width="13" customWidth="1"/>
    <col min="12806" max="12806" width="14.5703125" customWidth="1"/>
    <col min="12807" max="12807" width="10.85546875" customWidth="1"/>
    <col min="12808" max="12808" width="22.7109375" customWidth="1"/>
    <col min="13057" max="13057" width="2.7109375" customWidth="1"/>
    <col min="13058" max="13058" width="14.7109375" customWidth="1"/>
    <col min="13059" max="13059" width="24" customWidth="1"/>
    <col min="13060" max="13060" width="20.28515625" customWidth="1"/>
    <col min="13061" max="13061" width="13" customWidth="1"/>
    <col min="13062" max="13062" width="14.5703125" customWidth="1"/>
    <col min="13063" max="13063" width="10.85546875" customWidth="1"/>
    <col min="13064" max="13064" width="22.7109375" customWidth="1"/>
    <col min="13313" max="13313" width="2.7109375" customWidth="1"/>
    <col min="13314" max="13314" width="14.7109375" customWidth="1"/>
    <col min="13315" max="13315" width="24" customWidth="1"/>
    <col min="13316" max="13316" width="20.28515625" customWidth="1"/>
    <col min="13317" max="13317" width="13" customWidth="1"/>
    <col min="13318" max="13318" width="14.5703125" customWidth="1"/>
    <col min="13319" max="13319" width="10.85546875" customWidth="1"/>
    <col min="13320" max="13320" width="22.7109375" customWidth="1"/>
    <col min="13569" max="13569" width="2.7109375" customWidth="1"/>
    <col min="13570" max="13570" width="14.7109375" customWidth="1"/>
    <col min="13571" max="13571" width="24" customWidth="1"/>
    <col min="13572" max="13572" width="20.28515625" customWidth="1"/>
    <col min="13573" max="13573" width="13" customWidth="1"/>
    <col min="13574" max="13574" width="14.5703125" customWidth="1"/>
    <col min="13575" max="13575" width="10.85546875" customWidth="1"/>
    <col min="13576" max="13576" width="22.7109375" customWidth="1"/>
    <col min="13825" max="13825" width="2.7109375" customWidth="1"/>
    <col min="13826" max="13826" width="14.7109375" customWidth="1"/>
    <col min="13827" max="13827" width="24" customWidth="1"/>
    <col min="13828" max="13828" width="20.28515625" customWidth="1"/>
    <col min="13829" max="13829" width="13" customWidth="1"/>
    <col min="13830" max="13830" width="14.5703125" customWidth="1"/>
    <col min="13831" max="13831" width="10.85546875" customWidth="1"/>
    <col min="13832" max="13832" width="22.7109375" customWidth="1"/>
    <col min="14081" max="14081" width="2.7109375" customWidth="1"/>
    <col min="14082" max="14082" width="14.7109375" customWidth="1"/>
    <col min="14083" max="14083" width="24" customWidth="1"/>
    <col min="14084" max="14084" width="20.28515625" customWidth="1"/>
    <col min="14085" max="14085" width="13" customWidth="1"/>
    <col min="14086" max="14086" width="14.5703125" customWidth="1"/>
    <col min="14087" max="14087" width="10.85546875" customWidth="1"/>
    <col min="14088" max="14088" width="22.7109375" customWidth="1"/>
    <col min="14337" max="14337" width="2.7109375" customWidth="1"/>
    <col min="14338" max="14338" width="14.7109375" customWidth="1"/>
    <col min="14339" max="14339" width="24" customWidth="1"/>
    <col min="14340" max="14340" width="20.28515625" customWidth="1"/>
    <col min="14341" max="14341" width="13" customWidth="1"/>
    <col min="14342" max="14342" width="14.5703125" customWidth="1"/>
    <col min="14343" max="14343" width="10.85546875" customWidth="1"/>
    <col min="14344" max="14344" width="22.7109375" customWidth="1"/>
    <col min="14593" max="14593" width="2.7109375" customWidth="1"/>
    <col min="14594" max="14594" width="14.7109375" customWidth="1"/>
    <col min="14595" max="14595" width="24" customWidth="1"/>
    <col min="14596" max="14596" width="20.28515625" customWidth="1"/>
    <col min="14597" max="14597" width="13" customWidth="1"/>
    <col min="14598" max="14598" width="14.5703125" customWidth="1"/>
    <col min="14599" max="14599" width="10.85546875" customWidth="1"/>
    <col min="14600" max="14600" width="22.7109375" customWidth="1"/>
    <col min="14849" max="14849" width="2.7109375" customWidth="1"/>
    <col min="14850" max="14850" width="14.7109375" customWidth="1"/>
    <col min="14851" max="14851" width="24" customWidth="1"/>
    <col min="14852" max="14852" width="20.28515625" customWidth="1"/>
    <col min="14853" max="14853" width="13" customWidth="1"/>
    <col min="14854" max="14854" width="14.5703125" customWidth="1"/>
    <col min="14855" max="14855" width="10.85546875" customWidth="1"/>
    <col min="14856" max="14856" width="22.7109375" customWidth="1"/>
    <col min="15105" max="15105" width="2.7109375" customWidth="1"/>
    <col min="15106" max="15106" width="14.7109375" customWidth="1"/>
    <col min="15107" max="15107" width="24" customWidth="1"/>
    <col min="15108" max="15108" width="20.28515625" customWidth="1"/>
    <col min="15109" max="15109" width="13" customWidth="1"/>
    <col min="15110" max="15110" width="14.5703125" customWidth="1"/>
    <col min="15111" max="15111" width="10.85546875" customWidth="1"/>
    <col min="15112" max="15112" width="22.7109375" customWidth="1"/>
    <col min="15361" max="15361" width="2.7109375" customWidth="1"/>
    <col min="15362" max="15362" width="14.7109375" customWidth="1"/>
    <col min="15363" max="15363" width="24" customWidth="1"/>
    <col min="15364" max="15364" width="20.28515625" customWidth="1"/>
    <col min="15365" max="15365" width="13" customWidth="1"/>
    <col min="15366" max="15366" width="14.5703125" customWidth="1"/>
    <col min="15367" max="15367" width="10.85546875" customWidth="1"/>
    <col min="15368" max="15368" width="22.7109375" customWidth="1"/>
    <col min="15617" max="15617" width="2.7109375" customWidth="1"/>
    <col min="15618" max="15618" width="14.7109375" customWidth="1"/>
    <col min="15619" max="15619" width="24" customWidth="1"/>
    <col min="15620" max="15620" width="20.28515625" customWidth="1"/>
    <col min="15621" max="15621" width="13" customWidth="1"/>
    <col min="15622" max="15622" width="14.5703125" customWidth="1"/>
    <col min="15623" max="15623" width="10.85546875" customWidth="1"/>
    <col min="15624" max="15624" width="22.7109375" customWidth="1"/>
    <col min="15873" max="15873" width="2.7109375" customWidth="1"/>
    <col min="15874" max="15874" width="14.7109375" customWidth="1"/>
    <col min="15875" max="15875" width="24" customWidth="1"/>
    <col min="15876" max="15876" width="20.28515625" customWidth="1"/>
    <col min="15877" max="15877" width="13" customWidth="1"/>
    <col min="15878" max="15878" width="14.5703125" customWidth="1"/>
    <col min="15879" max="15879" width="10.85546875" customWidth="1"/>
    <col min="15880" max="15880" width="22.7109375" customWidth="1"/>
    <col min="16129" max="16129" width="2.7109375" customWidth="1"/>
    <col min="16130" max="16130" width="14.7109375" customWidth="1"/>
    <col min="16131" max="16131" width="24" customWidth="1"/>
    <col min="16132" max="16132" width="20.28515625" customWidth="1"/>
    <col min="16133" max="16133" width="13" customWidth="1"/>
    <col min="16134" max="16134" width="14.5703125" customWidth="1"/>
    <col min="16135" max="16135" width="10.85546875" customWidth="1"/>
    <col min="16136" max="16136" width="22.7109375" customWidth="1"/>
  </cols>
  <sheetData>
    <row r="1" spans="2:8" ht="19.149999999999999" customHeight="1">
      <c r="C1" s="354"/>
      <c r="D1" s="354"/>
      <c r="E1" s="354"/>
    </row>
    <row r="2" spans="2:8" ht="17.25" customHeight="1" thickBot="1">
      <c r="B2" s="354" t="s">
        <v>700</v>
      </c>
      <c r="C2" s="355"/>
      <c r="D2" s="355"/>
      <c r="E2" s="355"/>
    </row>
    <row r="3" spans="2:8" s="1" customFormat="1">
      <c r="B3" s="3358" t="s">
        <v>345</v>
      </c>
      <c r="C3" s="3360" t="s">
        <v>346</v>
      </c>
      <c r="D3" s="3362" t="s">
        <v>347</v>
      </c>
      <c r="E3" s="3362"/>
      <c r="F3" s="3362"/>
      <c r="G3" s="3362"/>
      <c r="H3" s="3363"/>
    </row>
    <row r="4" spans="2:8" s="1" customFormat="1">
      <c r="B4" s="3359"/>
      <c r="C4" s="3361"/>
      <c r="D4" s="3364" t="s">
        <v>348</v>
      </c>
      <c r="E4" s="3365"/>
      <c r="F4" s="3366" t="s">
        <v>349</v>
      </c>
      <c r="G4" s="3365"/>
      <c r="H4" s="3369" t="s">
        <v>350</v>
      </c>
    </row>
    <row r="5" spans="2:8" s="1" customFormat="1">
      <c r="B5" s="3359"/>
      <c r="C5" s="3361"/>
      <c r="D5" s="3371" t="s">
        <v>351</v>
      </c>
      <c r="E5" s="3372"/>
      <c r="F5" s="3367"/>
      <c r="G5" s="3368"/>
      <c r="H5" s="3370"/>
    </row>
    <row r="6" spans="2:8" s="1" customFormat="1" ht="11.25" customHeight="1">
      <c r="B6" s="5" t="s">
        <v>429</v>
      </c>
      <c r="C6" s="6" t="s">
        <v>466</v>
      </c>
      <c r="D6" s="3375" t="s">
        <v>430</v>
      </c>
      <c r="E6" s="3376"/>
      <c r="F6" s="50"/>
      <c r="G6" s="57"/>
      <c r="H6" s="51"/>
    </row>
    <row r="7" spans="2:8" s="1" customFormat="1" ht="11.25" customHeight="1">
      <c r="B7" s="49" t="s">
        <v>352</v>
      </c>
      <c r="C7" s="7" t="s">
        <v>613</v>
      </c>
      <c r="D7" s="3377" t="s">
        <v>681</v>
      </c>
      <c r="E7" s="3378"/>
      <c r="F7" s="8"/>
      <c r="G7" s="32"/>
      <c r="H7" s="9"/>
    </row>
    <row r="8" spans="2:8" s="1" customFormat="1" ht="12" customHeight="1">
      <c r="B8" s="5" t="s">
        <v>353</v>
      </c>
      <c r="C8" s="6" t="s">
        <v>466</v>
      </c>
      <c r="D8" s="10" t="s">
        <v>431</v>
      </c>
      <c r="E8" s="11" t="s">
        <v>432</v>
      </c>
      <c r="F8" s="12"/>
      <c r="G8" s="11"/>
      <c r="H8" s="13"/>
    </row>
    <row r="9" spans="2:8" s="1" customFormat="1" ht="11.25" customHeight="1">
      <c r="B9" s="48" t="s">
        <v>354</v>
      </c>
      <c r="C9" s="15" t="s">
        <v>444</v>
      </c>
      <c r="D9" s="16" t="s">
        <v>445</v>
      </c>
      <c r="E9" s="17"/>
      <c r="F9" s="18" t="s">
        <v>594</v>
      </c>
      <c r="G9" s="323" t="s">
        <v>465</v>
      </c>
      <c r="H9" s="2"/>
    </row>
    <row r="10" spans="2:8" s="1" customFormat="1" ht="9.75" customHeight="1">
      <c r="B10" s="19"/>
      <c r="C10" s="7" t="s">
        <v>355</v>
      </c>
      <c r="D10" s="3381" t="s">
        <v>433</v>
      </c>
      <c r="E10" s="3382"/>
      <c r="F10" s="22"/>
      <c r="G10" s="21"/>
      <c r="H10" s="23"/>
    </row>
    <row r="11" spans="2:8" s="1" customFormat="1">
      <c r="B11" s="5" t="s">
        <v>356</v>
      </c>
      <c r="C11" s="6" t="s">
        <v>467</v>
      </c>
      <c r="D11" s="3379" t="s">
        <v>446</v>
      </c>
      <c r="E11" s="3380"/>
      <c r="F11" s="12"/>
      <c r="G11" s="11"/>
      <c r="H11" s="13"/>
    </row>
    <row r="12" spans="2:8" s="1" customFormat="1" ht="12.75" customHeight="1">
      <c r="B12" s="48" t="s">
        <v>357</v>
      </c>
      <c r="C12" s="15" t="s">
        <v>604</v>
      </c>
      <c r="D12" s="16" t="s">
        <v>447</v>
      </c>
      <c r="E12" s="17" t="s">
        <v>434</v>
      </c>
      <c r="F12" s="18" t="s">
        <v>595</v>
      </c>
      <c r="G12" s="17" t="s">
        <v>432</v>
      </c>
      <c r="H12" s="2"/>
    </row>
    <row r="13" spans="2:8" s="1" customFormat="1" ht="22.5">
      <c r="B13" s="24"/>
      <c r="C13" s="15" t="s">
        <v>605</v>
      </c>
      <c r="D13" s="16" t="s">
        <v>435</v>
      </c>
      <c r="E13" s="17" t="s">
        <v>432</v>
      </c>
      <c r="F13" s="18" t="s">
        <v>596</v>
      </c>
      <c r="G13" s="17" t="s">
        <v>436</v>
      </c>
      <c r="H13" s="2"/>
    </row>
    <row r="14" spans="2:8" s="1" customFormat="1" ht="13.5" customHeight="1">
      <c r="B14" s="19"/>
      <c r="C14" s="7" t="s">
        <v>606</v>
      </c>
      <c r="D14" s="20"/>
      <c r="E14" s="21"/>
      <c r="F14" s="25"/>
      <c r="G14" s="21"/>
      <c r="H14" s="23"/>
    </row>
    <row r="15" spans="2:8" s="1" customFormat="1" ht="13.5" customHeight="1">
      <c r="B15" s="14" t="s">
        <v>358</v>
      </c>
      <c r="C15" s="15" t="s">
        <v>467</v>
      </c>
      <c r="D15" s="3379" t="s">
        <v>448</v>
      </c>
      <c r="E15" s="3380"/>
      <c r="F15" s="26"/>
      <c r="G15" s="17"/>
      <c r="H15" s="2"/>
    </row>
    <row r="16" spans="2:8" s="1" customFormat="1" ht="11.25" customHeight="1">
      <c r="B16" s="48" t="s">
        <v>359</v>
      </c>
      <c r="C16" s="15" t="s">
        <v>607</v>
      </c>
      <c r="D16" s="16" t="s">
        <v>449</v>
      </c>
      <c r="E16" s="17" t="s">
        <v>434</v>
      </c>
      <c r="F16" s="18" t="s">
        <v>597</v>
      </c>
      <c r="G16" s="17" t="s">
        <v>432</v>
      </c>
      <c r="H16" s="52" t="s">
        <v>451</v>
      </c>
    </row>
    <row r="17" spans="2:8" s="1" customFormat="1" ht="10.5" customHeight="1">
      <c r="B17" s="24"/>
      <c r="C17" s="15" t="s">
        <v>608</v>
      </c>
      <c r="D17" s="16" t="s">
        <v>435</v>
      </c>
      <c r="E17" s="17"/>
      <c r="F17" s="18" t="s">
        <v>598</v>
      </c>
      <c r="G17" s="17" t="s">
        <v>436</v>
      </c>
      <c r="H17" s="52" t="s">
        <v>437</v>
      </c>
    </row>
    <row r="18" spans="2:8" s="1" customFormat="1">
      <c r="B18" s="19"/>
      <c r="C18" s="7" t="s">
        <v>609</v>
      </c>
      <c r="D18" s="20"/>
      <c r="E18" s="21"/>
      <c r="F18" s="25"/>
      <c r="G18" s="21"/>
      <c r="H18" s="9"/>
    </row>
    <row r="19" spans="2:8" s="1" customFormat="1" ht="11.25" customHeight="1">
      <c r="B19" s="14" t="s">
        <v>360</v>
      </c>
      <c r="C19" s="15" t="s">
        <v>468</v>
      </c>
      <c r="D19" s="3373" t="s">
        <v>450</v>
      </c>
      <c r="E19" s="3374"/>
      <c r="G19" s="17"/>
      <c r="H19" s="52" t="s">
        <v>438</v>
      </c>
    </row>
    <row r="20" spans="2:8" s="1" customFormat="1" ht="9.75" customHeight="1">
      <c r="B20" s="48" t="s">
        <v>361</v>
      </c>
      <c r="C20" s="15" t="s">
        <v>610</v>
      </c>
      <c r="D20" s="16" t="s">
        <v>449</v>
      </c>
      <c r="E20" s="17" t="s">
        <v>434</v>
      </c>
      <c r="F20" s="18" t="s">
        <v>599</v>
      </c>
      <c r="G20" s="17" t="s">
        <v>432</v>
      </c>
      <c r="H20" s="52" t="s">
        <v>452</v>
      </c>
    </row>
    <row r="21" spans="2:8" s="1" customFormat="1" ht="10.5" customHeight="1">
      <c r="B21" s="14"/>
      <c r="C21" s="15" t="s">
        <v>608</v>
      </c>
      <c r="D21" s="16" t="s">
        <v>435</v>
      </c>
      <c r="F21" s="18" t="s">
        <v>600</v>
      </c>
      <c r="G21" s="17" t="s">
        <v>436</v>
      </c>
      <c r="H21" s="53" t="s">
        <v>439</v>
      </c>
    </row>
    <row r="22" spans="2:8" s="1" customFormat="1" ht="12" customHeight="1">
      <c r="B22" s="24"/>
      <c r="C22" s="27" t="s">
        <v>611</v>
      </c>
      <c r="D22" s="3355" t="s">
        <v>440</v>
      </c>
      <c r="E22" s="3356"/>
      <c r="F22" s="3357" t="s">
        <v>601</v>
      </c>
      <c r="G22" s="3356"/>
      <c r="H22" s="52"/>
    </row>
    <row r="23" spans="2:8" s="1" customFormat="1" ht="12" customHeight="1" thickBot="1">
      <c r="B23" s="28"/>
      <c r="C23" s="47" t="s">
        <v>612</v>
      </c>
      <c r="D23" s="29"/>
      <c r="E23" s="30"/>
      <c r="F23" s="29"/>
      <c r="G23" s="30"/>
      <c r="H23" s="31"/>
    </row>
  </sheetData>
  <sheetProtection algorithmName="SHA-512" hashValue="B19aXOsxsd9hSmi6rl992cRI2CqCmcBXMcMJmI4GNL4+xcKL9EZjVriB8R5ZvKombHFAplJeoBAfM7GUjLHPxw==" saltValue="d3oIEwbvEYgpovJjaQMJ6w==" spinCount="100000" sheet="1" objects="1" scenarios="1"/>
  <mergeCells count="15">
    <mergeCell ref="D22:E22"/>
    <mergeCell ref="F22:G22"/>
    <mergeCell ref="B3:B5"/>
    <mergeCell ref="C3:C5"/>
    <mergeCell ref="D3:H3"/>
    <mergeCell ref="D4:E4"/>
    <mergeCell ref="F4:G5"/>
    <mergeCell ref="H4:H5"/>
    <mergeCell ref="D5:E5"/>
    <mergeCell ref="D19:E19"/>
    <mergeCell ref="D6:E6"/>
    <mergeCell ref="D7:E7"/>
    <mergeCell ref="D11:E11"/>
    <mergeCell ref="D10:E10"/>
    <mergeCell ref="D15:E15"/>
  </mergeCells>
  <pageMargins left="0.7" right="0.7" top="0.75" bottom="0.75" header="0.3" footer="0.3"/>
  <pageSetup paperSize="9"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8"/>
  <dimension ref="A1:J64"/>
  <sheetViews>
    <sheetView showGridLines="0" zoomScaleNormal="100" workbookViewId="0">
      <selection activeCell="M8" sqref="M8"/>
    </sheetView>
  </sheetViews>
  <sheetFormatPr baseColWidth="10" defaultColWidth="11.42578125" defaultRowHeight="12.75"/>
  <cols>
    <col min="1" max="1" width="3.85546875" customWidth="1"/>
    <col min="2" max="10" width="11.7109375" customWidth="1"/>
    <col min="11" max="11" width="23.5703125" customWidth="1"/>
    <col min="12" max="12" width="11.7109375" customWidth="1"/>
  </cols>
  <sheetData>
    <row r="1" spans="2:10" ht="30" customHeight="1">
      <c r="B1" s="3401" t="s">
        <v>387</v>
      </c>
      <c r="C1" s="3401"/>
    </row>
    <row r="2" spans="2:10" ht="8.4499999999999993" customHeight="1">
      <c r="E2" s="55"/>
      <c r="F2" s="55"/>
      <c r="G2" s="55"/>
      <c r="H2" s="55"/>
      <c r="I2" s="55"/>
      <c r="J2" s="55"/>
    </row>
    <row r="3" spans="2:10" ht="17.25" customHeight="1">
      <c r="B3" s="4" t="s">
        <v>691</v>
      </c>
      <c r="C3" s="55"/>
      <c r="D3" s="55"/>
      <c r="E3" s="55"/>
      <c r="F3" s="55"/>
      <c r="G3" s="55"/>
      <c r="H3" s="55"/>
      <c r="I3" s="55"/>
      <c r="J3" s="55"/>
    </row>
    <row r="4" spans="2:10">
      <c r="D4" s="55"/>
      <c r="E4" s="55"/>
      <c r="F4" s="55"/>
      <c r="G4" s="55"/>
      <c r="H4" s="55"/>
      <c r="I4" s="55"/>
      <c r="J4" s="55"/>
    </row>
    <row r="50" spans="1:9" ht="18" customHeight="1">
      <c r="A50" s="39"/>
      <c r="B50" s="42" t="s">
        <v>482</v>
      </c>
      <c r="C50" s="3"/>
      <c r="D50" s="3"/>
      <c r="G50" s="46" t="s">
        <v>484</v>
      </c>
    </row>
    <row r="51" spans="1:9" ht="18" customHeight="1">
      <c r="A51" s="43" t="s">
        <v>160</v>
      </c>
      <c r="B51" s="36" t="s">
        <v>471</v>
      </c>
      <c r="C51" s="37"/>
      <c r="D51" s="37"/>
      <c r="E51" s="37"/>
      <c r="F51" s="38"/>
      <c r="G51" s="33" t="s">
        <v>469</v>
      </c>
      <c r="I51" s="3"/>
    </row>
    <row r="52" spans="1:9" ht="18" customHeight="1">
      <c r="A52" s="3393" t="s">
        <v>161</v>
      </c>
      <c r="B52" s="3397" t="s">
        <v>473</v>
      </c>
      <c r="C52" s="3398"/>
      <c r="D52" s="37" t="s">
        <v>470</v>
      </c>
      <c r="E52" s="37"/>
      <c r="F52" s="38"/>
      <c r="G52" s="33" t="s">
        <v>474</v>
      </c>
      <c r="I52" s="3"/>
    </row>
    <row r="53" spans="1:9" ht="18" customHeight="1">
      <c r="A53" s="3386"/>
      <c r="B53" s="3399"/>
      <c r="C53" s="3400"/>
      <c r="D53" s="56" t="s">
        <v>472</v>
      </c>
      <c r="E53" s="56"/>
      <c r="F53" s="34"/>
      <c r="G53" s="35" t="s">
        <v>475</v>
      </c>
      <c r="I53" s="3"/>
    </row>
    <row r="54" spans="1:9" ht="18" customHeight="1">
      <c r="A54" s="3385" t="s">
        <v>162</v>
      </c>
      <c r="B54" s="3394" t="s">
        <v>476</v>
      </c>
      <c r="C54" s="3395"/>
      <c r="D54" s="3395"/>
      <c r="E54" s="3395"/>
      <c r="F54" s="3396"/>
      <c r="G54" s="3383">
        <v>1.6</v>
      </c>
      <c r="I54" s="3"/>
    </row>
    <row r="55" spans="1:9" ht="18" customHeight="1">
      <c r="A55" s="3386"/>
      <c r="B55" s="3390"/>
      <c r="C55" s="3391"/>
      <c r="D55" s="3391"/>
      <c r="E55" s="3391"/>
      <c r="F55" s="3392"/>
      <c r="G55" s="3384"/>
      <c r="I55" s="3"/>
    </row>
    <row r="56" spans="1:9" ht="18" customHeight="1">
      <c r="A56" s="3393" t="s">
        <v>163</v>
      </c>
      <c r="B56" s="3394" t="s">
        <v>477</v>
      </c>
      <c r="C56" s="3395"/>
      <c r="D56" s="3395"/>
      <c r="E56" s="3395"/>
      <c r="F56" s="3396"/>
      <c r="G56" s="3383">
        <v>1.3</v>
      </c>
      <c r="I56" s="3"/>
    </row>
    <row r="57" spans="1:9" ht="18" customHeight="1">
      <c r="A57" s="3386"/>
      <c r="B57" s="3390"/>
      <c r="C57" s="3391"/>
      <c r="D57" s="3391"/>
      <c r="E57" s="3391"/>
      <c r="F57" s="3392"/>
      <c r="G57" s="3384"/>
      <c r="I57" s="3"/>
    </row>
    <row r="58" spans="1:9" ht="18" customHeight="1">
      <c r="A58" s="3385" t="s">
        <v>164</v>
      </c>
      <c r="B58" s="3394" t="s">
        <v>478</v>
      </c>
      <c r="C58" s="3395"/>
      <c r="D58" s="3395"/>
      <c r="E58" s="3395"/>
      <c r="F58" s="3396"/>
      <c r="G58" s="3383">
        <v>1</v>
      </c>
      <c r="I58" s="3"/>
    </row>
    <row r="59" spans="1:9" ht="18" customHeight="1">
      <c r="A59" s="3386"/>
      <c r="B59" s="3390"/>
      <c r="C59" s="3391"/>
      <c r="D59" s="3391"/>
      <c r="E59" s="3391"/>
      <c r="F59" s="3392"/>
      <c r="G59" s="3384"/>
    </row>
    <row r="60" spans="1:9" ht="18" customHeight="1">
      <c r="A60" s="3393" t="s">
        <v>121</v>
      </c>
      <c r="B60" s="3387" t="s">
        <v>479</v>
      </c>
      <c r="C60" s="3388"/>
      <c r="D60" s="3388"/>
      <c r="E60" s="3388"/>
      <c r="F60" s="3389"/>
      <c r="G60" s="3383">
        <v>0.8</v>
      </c>
    </row>
    <row r="61" spans="1:9" ht="18" customHeight="1">
      <c r="A61" s="3386"/>
      <c r="B61" s="3390"/>
      <c r="C61" s="3391"/>
      <c r="D61" s="3391"/>
      <c r="E61" s="3391"/>
      <c r="F61" s="3392"/>
      <c r="G61" s="3384"/>
    </row>
    <row r="62" spans="1:9" ht="18" customHeight="1">
      <c r="A62" s="3385" t="s">
        <v>165</v>
      </c>
      <c r="B62" s="3394" t="s">
        <v>480</v>
      </c>
      <c r="C62" s="3395"/>
      <c r="D62" s="3395"/>
      <c r="E62" s="3395"/>
      <c r="F62" s="3396"/>
      <c r="G62" s="3383">
        <v>0.5</v>
      </c>
    </row>
    <row r="63" spans="1:9" ht="18" customHeight="1">
      <c r="A63" s="3386"/>
      <c r="B63" s="3390"/>
      <c r="C63" s="3391"/>
      <c r="D63" s="3391"/>
      <c r="E63" s="3391"/>
      <c r="F63" s="3392"/>
      <c r="G63" s="3384"/>
    </row>
    <row r="64" spans="1:9" ht="15.75" customHeight="1">
      <c r="A64" s="44"/>
      <c r="B64" s="41" t="s">
        <v>481</v>
      </c>
      <c r="C64" s="40"/>
      <c r="D64" s="40"/>
      <c r="E64" s="40"/>
      <c r="F64" s="40"/>
      <c r="G64" s="45"/>
    </row>
  </sheetData>
  <sheetProtection algorithmName="SHA-512" hashValue="gZ6eCo6C+fzNxCylxQ/63csMLwkYcwSEh+iLxai527aw+eng2Gg/M8EH7pbv4ZFW9LSlZI3Lroj0P3y+8b0CoA==" saltValue="a3XHtJE2NVq79uDbPG3keg==" spinCount="100000" sheet="1" objects="1" scenarios="1"/>
  <mergeCells count="18">
    <mergeCell ref="B1:C1"/>
    <mergeCell ref="A52:A53"/>
    <mergeCell ref="B54:F55"/>
    <mergeCell ref="G54:G55"/>
    <mergeCell ref="A54:A55"/>
    <mergeCell ref="B56:F57"/>
    <mergeCell ref="A56:A57"/>
    <mergeCell ref="G56:G57"/>
    <mergeCell ref="B52:C53"/>
    <mergeCell ref="G58:G59"/>
    <mergeCell ref="G60:G61"/>
    <mergeCell ref="G62:G63"/>
    <mergeCell ref="A58:A59"/>
    <mergeCell ref="B60:F61"/>
    <mergeCell ref="A60:A61"/>
    <mergeCell ref="B62:F63"/>
    <mergeCell ref="A62:A63"/>
    <mergeCell ref="B58:F59"/>
  </mergeCells>
  <pageMargins left="0.7" right="0.7" top="0.75" bottom="0.75" header="0.3" footer="0.3"/>
  <pageSetup paperSize="9" orientation="landscape"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9"/>
  <dimension ref="B2:U69"/>
  <sheetViews>
    <sheetView showGridLines="0" topLeftCell="A2" zoomScale="95" zoomScaleNormal="95" workbookViewId="0">
      <selection activeCell="N45" sqref="N45"/>
    </sheetView>
  </sheetViews>
  <sheetFormatPr baseColWidth="10" defaultColWidth="11.42578125" defaultRowHeight="12.75"/>
  <cols>
    <col min="1" max="1" width="2.42578125" customWidth="1"/>
    <col min="9" max="10" width="9" customWidth="1"/>
    <col min="11" max="11" width="8.28515625" customWidth="1"/>
    <col min="12" max="12" width="11.42578125" customWidth="1"/>
    <col min="13" max="13" width="4.5703125" customWidth="1"/>
    <col min="258" max="258" width="2.42578125" customWidth="1"/>
    <col min="514" max="514" width="2.42578125" customWidth="1"/>
    <col min="770" max="770" width="2.42578125" customWidth="1"/>
    <col min="1026" max="1026" width="2.42578125" customWidth="1"/>
    <col min="1282" max="1282" width="2.42578125" customWidth="1"/>
    <col min="1538" max="1538" width="2.42578125" customWidth="1"/>
    <col min="1794" max="1794" width="2.42578125" customWidth="1"/>
    <col min="2050" max="2050" width="2.42578125" customWidth="1"/>
    <col min="2306" max="2306" width="2.42578125" customWidth="1"/>
    <col min="2562" max="2562" width="2.42578125" customWidth="1"/>
    <col min="2818" max="2818" width="2.42578125" customWidth="1"/>
    <col min="3074" max="3074" width="2.42578125" customWidth="1"/>
    <col min="3330" max="3330" width="2.42578125" customWidth="1"/>
    <col min="3586" max="3586" width="2.42578125" customWidth="1"/>
    <col min="3842" max="3842" width="2.42578125" customWidth="1"/>
    <col min="4098" max="4098" width="2.42578125" customWidth="1"/>
    <col min="4354" max="4354" width="2.42578125" customWidth="1"/>
    <col min="4610" max="4610" width="2.42578125" customWidth="1"/>
    <col min="4866" max="4866" width="2.42578125" customWidth="1"/>
    <col min="5122" max="5122" width="2.42578125" customWidth="1"/>
    <col min="5378" max="5378" width="2.42578125" customWidth="1"/>
    <col min="5634" max="5634" width="2.42578125" customWidth="1"/>
    <col min="5890" max="5890" width="2.42578125" customWidth="1"/>
    <col min="6146" max="6146" width="2.42578125" customWidth="1"/>
    <col min="6402" max="6402" width="2.42578125" customWidth="1"/>
    <col min="6658" max="6658" width="2.42578125" customWidth="1"/>
    <col min="6914" max="6914" width="2.42578125" customWidth="1"/>
    <col min="7170" max="7170" width="2.42578125" customWidth="1"/>
    <col min="7426" max="7426" width="2.42578125" customWidth="1"/>
    <col min="7682" max="7682" width="2.42578125" customWidth="1"/>
    <col min="7938" max="7938" width="2.42578125" customWidth="1"/>
    <col min="8194" max="8194" width="2.42578125" customWidth="1"/>
    <col min="8450" max="8450" width="2.42578125" customWidth="1"/>
    <col min="8706" max="8706" width="2.42578125" customWidth="1"/>
    <col min="8962" max="8962" width="2.42578125" customWidth="1"/>
    <col min="9218" max="9218" width="2.42578125" customWidth="1"/>
    <col min="9474" max="9474" width="2.42578125" customWidth="1"/>
    <col min="9730" max="9730" width="2.42578125" customWidth="1"/>
    <col min="9986" max="9986" width="2.42578125" customWidth="1"/>
    <col min="10242" max="10242" width="2.42578125" customWidth="1"/>
    <col min="10498" max="10498" width="2.42578125" customWidth="1"/>
    <col min="10754" max="10754" width="2.42578125" customWidth="1"/>
    <col min="11010" max="11010" width="2.42578125" customWidth="1"/>
    <col min="11266" max="11266" width="2.42578125" customWidth="1"/>
    <col min="11522" max="11522" width="2.42578125" customWidth="1"/>
    <col min="11778" max="11778" width="2.42578125" customWidth="1"/>
    <col min="12034" max="12034" width="2.42578125" customWidth="1"/>
    <col min="12290" max="12290" width="2.42578125" customWidth="1"/>
    <col min="12546" max="12546" width="2.42578125" customWidth="1"/>
    <col min="12802" max="12802" width="2.42578125" customWidth="1"/>
    <col min="13058" max="13058" width="2.42578125" customWidth="1"/>
    <col min="13314" max="13314" width="2.42578125" customWidth="1"/>
    <col min="13570" max="13570" width="2.42578125" customWidth="1"/>
    <col min="13826" max="13826" width="2.42578125" customWidth="1"/>
    <col min="14082" max="14082" width="2.42578125" customWidth="1"/>
    <col min="14338" max="14338" width="2.42578125" customWidth="1"/>
    <col min="14594" max="14594" width="2.42578125" customWidth="1"/>
    <col min="14850" max="14850" width="2.42578125" customWidth="1"/>
    <col min="15106" max="15106" width="2.42578125" customWidth="1"/>
    <col min="15362" max="15362" width="2.42578125" customWidth="1"/>
    <col min="15618" max="15618" width="2.42578125" customWidth="1"/>
    <col min="15874" max="15874" width="2.42578125" customWidth="1"/>
    <col min="16130" max="16130" width="2.42578125" customWidth="1"/>
  </cols>
  <sheetData>
    <row r="2" spans="2:21" ht="18" customHeight="1">
      <c r="B2" s="3402"/>
      <c r="C2" s="3402"/>
      <c r="D2" s="3402"/>
      <c r="E2" s="3402"/>
      <c r="F2" s="3402"/>
      <c r="G2" s="3402"/>
      <c r="H2" s="3402"/>
      <c r="I2" s="3402"/>
      <c r="J2" s="3402"/>
      <c r="K2" s="3402"/>
      <c r="L2" s="3402"/>
      <c r="T2" s="320"/>
      <c r="U2" s="54"/>
    </row>
    <row r="3" spans="2:21" ht="18.75" customHeight="1">
      <c r="B3" s="3402"/>
      <c r="C3" s="3402"/>
      <c r="D3" s="3402"/>
      <c r="E3" s="3402"/>
      <c r="F3" s="3402"/>
      <c r="G3" s="3402"/>
      <c r="H3" s="3402"/>
      <c r="I3" s="3402"/>
      <c r="J3" s="3402"/>
      <c r="K3" s="3402"/>
      <c r="L3" s="3402"/>
      <c r="M3" s="321"/>
      <c r="N3" s="3403" t="s">
        <v>544</v>
      </c>
      <c r="O3" s="3403"/>
      <c r="P3" s="3403"/>
      <c r="Q3" s="3403"/>
      <c r="R3" s="3403"/>
      <c r="S3" s="3403"/>
      <c r="T3" s="320"/>
      <c r="U3" s="54"/>
    </row>
    <row r="4" spans="2:21">
      <c r="B4" s="3"/>
    </row>
    <row r="15" spans="2:21" ht="15.75" customHeight="1">
      <c r="O15" s="325"/>
      <c r="P15" s="325"/>
      <c r="Q15" s="325"/>
      <c r="R15" s="325"/>
      <c r="S15" s="325"/>
    </row>
    <row r="16" spans="2:21" ht="12.75" customHeight="1">
      <c r="M16" s="322"/>
      <c r="N16" s="325"/>
      <c r="O16" s="325"/>
      <c r="P16" s="325"/>
      <c r="Q16" s="325"/>
      <c r="R16" s="325"/>
      <c r="S16" s="325"/>
    </row>
    <row r="17" ht="24" customHeight="1"/>
    <row r="47" spans="3:11" ht="26.25" customHeight="1"/>
    <row r="48" spans="3:11" s="1" customFormat="1" ht="22.5" customHeight="1">
      <c r="C48" s="3402" t="s">
        <v>539</v>
      </c>
      <c r="D48" s="3402"/>
      <c r="E48" s="3402"/>
      <c r="F48" s="3402"/>
      <c r="G48" s="3402"/>
      <c r="H48" s="3402"/>
      <c r="I48" s="3402"/>
      <c r="J48" s="3402"/>
      <c r="K48" s="3402"/>
    </row>
    <row r="49" spans="3:11">
      <c r="C49" s="3402"/>
      <c r="D49" s="3402"/>
      <c r="E49" s="3402"/>
      <c r="F49" s="3402"/>
      <c r="G49" s="3402"/>
      <c r="H49" s="3402"/>
      <c r="I49" s="3402"/>
      <c r="J49" s="3402"/>
      <c r="K49" s="3402"/>
    </row>
    <row r="69" spans="2:2">
      <c r="B69" s="823" t="s">
        <v>1164</v>
      </c>
    </row>
  </sheetData>
  <sheetProtection algorithmName="SHA-512" hashValue="7Ib230aXq09FyPhOui/W/Fn7zgyrrI3jMAdnknyNXv/n/wzPfcCjRSok2X3ATF05MRLI4Q+7mqvaBdv/odDz4A==" saltValue="OSsKxQf1WqsWpPd+M3GORQ==" spinCount="100000" sheet="1" objects="1" scenarios="1"/>
  <mergeCells count="3">
    <mergeCell ref="B2:L3"/>
    <mergeCell ref="N3:S3"/>
    <mergeCell ref="C48:K49"/>
  </mergeCells>
  <pageMargins left="0.7" right="0.7" top="0.75" bottom="0.75" header="0.3" footer="0.3"/>
  <pageSetup paperSize="9"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909B-E0B4-43FA-BB7A-C8FDDB695C34}">
  <sheetPr codeName="Ark10"/>
  <dimension ref="B1:P58"/>
  <sheetViews>
    <sheetView showGridLines="0" topLeftCell="A24" zoomScale="95" zoomScaleNormal="95" workbookViewId="0">
      <selection activeCell="M63" sqref="M63"/>
    </sheetView>
  </sheetViews>
  <sheetFormatPr baseColWidth="10" defaultColWidth="11.42578125" defaultRowHeight="12.75"/>
  <cols>
    <col min="1" max="1" width="1.28515625" customWidth="1"/>
    <col min="11" max="11" width="11.85546875" customWidth="1"/>
    <col min="13" max="13" width="10.7109375" customWidth="1"/>
    <col min="14" max="14" width="10" customWidth="1"/>
    <col min="15" max="15" width="10.85546875" customWidth="1"/>
    <col min="16" max="16" width="9.85546875" customWidth="1"/>
  </cols>
  <sheetData>
    <row r="1" spans="2:16" ht="25.5" customHeight="1">
      <c r="B1" s="380" t="s">
        <v>1166</v>
      </c>
      <c r="C1" s="381"/>
      <c r="D1" s="381"/>
      <c r="E1" s="381"/>
      <c r="F1" s="381"/>
      <c r="G1" s="381"/>
      <c r="H1" s="381"/>
      <c r="I1" s="381"/>
      <c r="J1" s="381"/>
      <c r="K1" s="381"/>
      <c r="L1" s="380" t="s">
        <v>736</v>
      </c>
      <c r="M1" s="381"/>
    </row>
    <row r="2" spans="2:16" ht="7.5" customHeight="1"/>
    <row r="3" spans="2:16">
      <c r="L3" s="382"/>
      <c r="M3" s="383"/>
      <c r="N3" s="383"/>
      <c r="O3" s="383"/>
      <c r="P3" s="384"/>
    </row>
    <row r="4" spans="2:16">
      <c r="L4" s="385"/>
      <c r="P4" s="386"/>
    </row>
    <row r="5" spans="2:16">
      <c r="L5" s="385"/>
      <c r="P5" s="386"/>
    </row>
    <row r="6" spans="2:16">
      <c r="L6" s="385"/>
      <c r="P6" s="386"/>
    </row>
    <row r="7" spans="2:16">
      <c r="L7" s="385"/>
      <c r="P7" s="386"/>
    </row>
    <row r="8" spans="2:16">
      <c r="L8" s="385"/>
      <c r="P8" s="386"/>
    </row>
    <row r="9" spans="2:16">
      <c r="L9" s="385"/>
      <c r="P9" s="386"/>
    </row>
    <row r="10" spans="2:16">
      <c r="L10" s="385"/>
      <c r="P10" s="386"/>
    </row>
    <row r="11" spans="2:16">
      <c r="L11" s="385"/>
      <c r="P11" s="386"/>
    </row>
    <row r="12" spans="2:16">
      <c r="L12" s="385"/>
      <c r="P12" s="386"/>
    </row>
    <row r="13" spans="2:16">
      <c r="L13" s="385"/>
      <c r="P13" s="386"/>
    </row>
    <row r="14" spans="2:16">
      <c r="L14" s="385"/>
      <c r="P14" s="386"/>
    </row>
    <row r="15" spans="2:16">
      <c r="L15" s="385"/>
      <c r="P15" s="386"/>
    </row>
    <row r="16" spans="2:16">
      <c r="L16" s="385"/>
      <c r="P16" s="386"/>
    </row>
    <row r="17" spans="12:16">
      <c r="L17" s="385"/>
      <c r="P17" s="386"/>
    </row>
    <row r="18" spans="12:16">
      <c r="L18" s="385"/>
      <c r="P18" s="386"/>
    </row>
    <row r="19" spans="12:16">
      <c r="L19" s="385"/>
      <c r="P19" s="386"/>
    </row>
    <row r="20" spans="12:16">
      <c r="L20" s="385"/>
      <c r="P20" s="386"/>
    </row>
    <row r="21" spans="12:16">
      <c r="L21" s="385"/>
      <c r="P21" s="386"/>
    </row>
    <row r="22" spans="12:16">
      <c r="L22" s="385"/>
      <c r="P22" s="386"/>
    </row>
    <row r="23" spans="12:16">
      <c r="L23" s="385"/>
      <c r="P23" s="386"/>
    </row>
    <row r="24" spans="12:16">
      <c r="L24" s="385"/>
      <c r="P24" s="386"/>
    </row>
    <row r="25" spans="12:16">
      <c r="L25" s="385"/>
      <c r="P25" s="386"/>
    </row>
    <row r="26" spans="12:16">
      <c r="L26" s="385"/>
      <c r="P26" s="386"/>
    </row>
    <row r="27" spans="12:16">
      <c r="L27" s="385"/>
      <c r="P27" s="386"/>
    </row>
    <row r="28" spans="12:16">
      <c r="L28" s="385"/>
      <c r="P28" s="386"/>
    </row>
    <row r="29" spans="12:16">
      <c r="L29" s="385"/>
      <c r="P29" s="386"/>
    </row>
    <row r="30" spans="12:16">
      <c r="L30" s="385"/>
      <c r="P30" s="386"/>
    </row>
    <row r="31" spans="12:16">
      <c r="L31" s="385"/>
      <c r="P31" s="386"/>
    </row>
    <row r="32" spans="12:16">
      <c r="L32" s="385"/>
      <c r="P32" s="386"/>
    </row>
    <row r="33" spans="2:16">
      <c r="L33" s="385"/>
      <c r="P33" s="386"/>
    </row>
    <row r="34" spans="2:16">
      <c r="L34" s="385"/>
      <c r="P34" s="386"/>
    </row>
    <row r="35" spans="2:16">
      <c r="L35" s="385"/>
      <c r="P35" s="386"/>
    </row>
    <row r="36" spans="2:16">
      <c r="L36" s="385"/>
      <c r="P36" s="386"/>
    </row>
    <row r="37" spans="2:16">
      <c r="L37" s="385"/>
      <c r="P37" s="386"/>
    </row>
    <row r="38" spans="2:16">
      <c r="L38" s="385"/>
      <c r="P38" s="386"/>
    </row>
    <row r="39" spans="2:16">
      <c r="L39" s="385"/>
      <c r="P39" s="386"/>
    </row>
    <row r="40" spans="2:16">
      <c r="L40" s="385"/>
      <c r="P40" s="386"/>
    </row>
    <row r="41" spans="2:16">
      <c r="L41" s="387"/>
      <c r="M41" s="39"/>
      <c r="N41" s="39"/>
      <c r="O41" s="39"/>
      <c r="P41" s="388"/>
    </row>
    <row r="42" spans="2:16">
      <c r="J42" s="3" t="s">
        <v>1167</v>
      </c>
    </row>
    <row r="44" spans="2:16" ht="15">
      <c r="B44" s="389" t="s">
        <v>1165</v>
      </c>
      <c r="C44" s="383"/>
      <c r="D44" s="383"/>
      <c r="E44" s="383"/>
      <c r="F44" s="383"/>
      <c r="G44" s="383"/>
      <c r="H44" s="383"/>
      <c r="I44" s="383"/>
      <c r="J44" s="383"/>
      <c r="K44" s="383"/>
      <c r="L44" s="383"/>
      <c r="M44" s="383"/>
      <c r="N44" s="383"/>
      <c r="O44" s="383"/>
      <c r="P44" s="384"/>
    </row>
    <row r="45" spans="2:16">
      <c r="B45" s="390" t="s">
        <v>737</v>
      </c>
      <c r="P45" s="386"/>
    </row>
    <row r="46" spans="2:16">
      <c r="B46" s="390" t="s">
        <v>738</v>
      </c>
      <c r="P46" s="386"/>
    </row>
    <row r="47" spans="2:16">
      <c r="B47" s="390"/>
      <c r="P47" s="386"/>
    </row>
    <row r="48" spans="2:16">
      <c r="B48" s="390" t="s">
        <v>739</v>
      </c>
      <c r="P48" s="386"/>
    </row>
    <row r="49" spans="2:16" ht="13.5" customHeight="1">
      <c r="B49" s="390" t="s">
        <v>740</v>
      </c>
      <c r="P49" s="386"/>
    </row>
    <row r="50" spans="2:16" ht="15.75" customHeight="1">
      <c r="B50" s="3404" t="s">
        <v>741</v>
      </c>
      <c r="C50" s="3405"/>
      <c r="D50" s="3405"/>
      <c r="E50" s="3405"/>
      <c r="F50" s="3405"/>
      <c r="G50" s="3405"/>
      <c r="H50" s="3405"/>
      <c r="I50" s="3405"/>
      <c r="J50" s="3405"/>
      <c r="K50" s="3405"/>
      <c r="L50" s="3405"/>
      <c r="M50" s="3405"/>
      <c r="N50" s="3405"/>
      <c r="O50" s="3405"/>
      <c r="P50" s="3406"/>
    </row>
    <row r="51" spans="2:16" ht="15" customHeight="1">
      <c r="B51" s="3404"/>
      <c r="C51" s="3405"/>
      <c r="D51" s="3405"/>
      <c r="E51" s="3405"/>
      <c r="F51" s="3405"/>
      <c r="G51" s="3405"/>
      <c r="H51" s="3405"/>
      <c r="I51" s="3405"/>
      <c r="J51" s="3405"/>
      <c r="K51" s="3405"/>
      <c r="L51" s="3405"/>
      <c r="M51" s="3405"/>
      <c r="N51" s="3405"/>
      <c r="O51" s="3405"/>
      <c r="P51" s="3406"/>
    </row>
    <row r="52" spans="2:16">
      <c r="B52" s="385"/>
      <c r="P52" s="386"/>
    </row>
    <row r="53" spans="2:16">
      <c r="B53" s="3404" t="s">
        <v>742</v>
      </c>
      <c r="C53" s="3405"/>
      <c r="D53" s="3405"/>
      <c r="E53" s="3405"/>
      <c r="F53" s="3405"/>
      <c r="G53" s="3405"/>
      <c r="H53" s="3405"/>
      <c r="I53" s="3405"/>
      <c r="J53" s="3405"/>
      <c r="K53" s="3405"/>
      <c r="L53" s="3405"/>
      <c r="M53" s="3405"/>
      <c r="N53" s="3405"/>
      <c r="O53" s="3405"/>
      <c r="P53" s="3406"/>
    </row>
    <row r="54" spans="2:16">
      <c r="B54" s="3404"/>
      <c r="C54" s="3405"/>
      <c r="D54" s="3405"/>
      <c r="E54" s="3405"/>
      <c r="F54" s="3405"/>
      <c r="G54" s="3405"/>
      <c r="H54" s="3405"/>
      <c r="I54" s="3405"/>
      <c r="J54" s="3405"/>
      <c r="K54" s="3405"/>
      <c r="L54" s="3405"/>
      <c r="M54" s="3405"/>
      <c r="N54" s="3405"/>
      <c r="O54" s="3405"/>
      <c r="P54" s="3406"/>
    </row>
    <row r="55" spans="2:16">
      <c r="B55" s="3404"/>
      <c r="C55" s="3405"/>
      <c r="D55" s="3405"/>
      <c r="E55" s="3405"/>
      <c r="F55" s="3405"/>
      <c r="G55" s="3405"/>
      <c r="H55" s="3405"/>
      <c r="I55" s="3405"/>
      <c r="J55" s="3405"/>
      <c r="K55" s="3405"/>
      <c r="L55" s="3405"/>
      <c r="M55" s="3405"/>
      <c r="N55" s="3405"/>
      <c r="O55" s="3405"/>
      <c r="P55" s="3406"/>
    </row>
    <row r="56" spans="2:16">
      <c r="B56" s="3404"/>
      <c r="C56" s="3405"/>
      <c r="D56" s="3405"/>
      <c r="E56" s="3405"/>
      <c r="F56" s="3405"/>
      <c r="G56" s="3405"/>
      <c r="H56" s="3405"/>
      <c r="I56" s="3405"/>
      <c r="J56" s="3405"/>
      <c r="K56" s="3405"/>
      <c r="L56" s="3405"/>
      <c r="M56" s="3405"/>
      <c r="N56" s="3405"/>
      <c r="O56" s="3405"/>
      <c r="P56" s="3406"/>
    </row>
    <row r="57" spans="2:16">
      <c r="B57" s="3404"/>
      <c r="C57" s="3405"/>
      <c r="D57" s="3405"/>
      <c r="E57" s="3405"/>
      <c r="F57" s="3405"/>
      <c r="G57" s="3405"/>
      <c r="H57" s="3405"/>
      <c r="I57" s="3405"/>
      <c r="J57" s="3405"/>
      <c r="K57" s="3405"/>
      <c r="L57" s="3405"/>
      <c r="M57" s="3405"/>
      <c r="N57" s="3405"/>
      <c r="O57" s="3405"/>
      <c r="P57" s="3406"/>
    </row>
    <row r="58" spans="2:16">
      <c r="B58" s="3407"/>
      <c r="C58" s="3408"/>
      <c r="D58" s="3408"/>
      <c r="E58" s="3408"/>
      <c r="F58" s="3408"/>
      <c r="G58" s="3408"/>
      <c r="H58" s="3408"/>
      <c r="I58" s="3408"/>
      <c r="J58" s="3408"/>
      <c r="K58" s="3408"/>
      <c r="L58" s="3408"/>
      <c r="M58" s="3408"/>
      <c r="N58" s="3408"/>
      <c r="O58" s="3408"/>
      <c r="P58" s="3409"/>
    </row>
  </sheetData>
  <sheetProtection algorithmName="SHA-512" hashValue="XKHR6O16jacMtN0oQ/jESQFQN1rXPwRCAE6eCcD1iE6/vNuibl91ghPKxg2NzhUO6AM5EzeE2PEUYE/QP/GxBg==" saltValue="4c2b7WOhbTPISr8CGFuQbA==" spinCount="100000" sheet="1" objects="1" scenarios="1"/>
  <mergeCells count="2">
    <mergeCell ref="B50:P51"/>
    <mergeCell ref="B53:P5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714E79E8AD164AB01936FBE0F18BB9" ma:contentTypeVersion="21" ma:contentTypeDescription="Opprett et nytt dokument." ma:contentTypeScope="" ma:versionID="45c6a0cc21922d2bde09fc0d4d352083">
  <xsd:schema xmlns:xsd="http://www.w3.org/2001/XMLSchema" xmlns:xs="http://www.w3.org/2001/XMLSchema" xmlns:p="http://schemas.microsoft.com/office/2006/metadata/properties" xmlns:ns1="http://schemas.microsoft.com/sharepoint/v3" xmlns:ns2="a1e5f693-2071-4d4e-9b0b-e0ba1c09c27e" xmlns:ns3="d637a484-a92d-4ff8-9bfb-8b9ee90084d7" targetNamespace="http://schemas.microsoft.com/office/2006/metadata/properties" ma:root="true" ma:fieldsID="9f0db74e0c0d5160b81bc72c2237a970" ns1:_="" ns2:_="" ns3:_="">
    <xsd:import namespace="http://schemas.microsoft.com/sharepoint/v3"/>
    <xsd:import namespace="a1e5f693-2071-4d4e-9b0b-e0ba1c09c27e"/>
    <xsd:import namespace="d637a484-a92d-4ff8-9bfb-8b9ee90084d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Egenskaper for samordnet samsvarspolicy" ma:hidden="true" ma:internalName="_ip_UnifiedCompliancePolicyProperties">
      <xsd:simpleType>
        <xsd:restriction base="dms:Note"/>
      </xsd:simpleType>
    </xsd:element>
    <xsd:element name="_ip_UnifiedCompliancePolicyUIAction" ma:index="27"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e5f693-2071-4d4e-9b0b-e0ba1c09c2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82025e3d-d55c-4e1f-aa86-242ae86223f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37a484-a92d-4ff8-9bfb-8b9ee90084d7"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e3403f58-6ebd-4ecd-90b7-54193e25ce2c}" ma:internalName="TaxCatchAll" ma:showField="CatchAllData" ma:web="d637a484-a92d-4ff8-9bfb-8b9ee90084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637a484-a92d-4ff8-9bfb-8b9ee90084d7" xsi:nil="true"/>
    <_ip_UnifiedCompliancePolicyProperties xmlns="http://schemas.microsoft.com/sharepoint/v3" xsi:nil="true"/>
    <lcf76f155ced4ddcb4097134ff3c332f xmlns="a1e5f693-2071-4d4e-9b0b-e0ba1c09c2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675148-971C-4F24-9733-E067E1F536D4}"/>
</file>

<file path=customXml/itemProps2.xml><?xml version="1.0" encoding="utf-8"?>
<ds:datastoreItem xmlns:ds="http://schemas.openxmlformats.org/officeDocument/2006/customXml" ds:itemID="{1DAFEB09-FC11-4262-9FD1-1AA3070DC0AA}"/>
</file>

<file path=customXml/itemProps3.xml><?xml version="1.0" encoding="utf-8"?>
<ds:datastoreItem xmlns:ds="http://schemas.openxmlformats.org/officeDocument/2006/customXml" ds:itemID="{2305D42A-FD7F-4DFD-B879-3DAF7B8B88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How to start</vt:lpstr>
      <vt:lpstr>INPUT and CALCULATIONS</vt:lpstr>
      <vt:lpstr>Parameter tables</vt:lpstr>
      <vt:lpstr>Rock strength</vt:lpstr>
      <vt:lpstr>RMR support</vt:lpstr>
      <vt:lpstr>Q-support</vt:lpstr>
      <vt:lpstr>RMi-support</vt:lpstr>
      <vt:lpstr>Support capacity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Arild Palmstrøm</dc:creator>
  <cp:lastModifiedBy>Arild Palmstrøm</cp:lastModifiedBy>
  <cp:lastPrinted>2026-05-11T10:52:07Z</cp:lastPrinted>
  <dcterms:created xsi:type="dcterms:W3CDTF">2005-05-19T20:34:20Z</dcterms:created>
  <dcterms:modified xsi:type="dcterms:W3CDTF">2026-05-22T21:39:07Z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0x010100C0714E79E8AD164AB01936FBE0F18BB9</vt:lpwstr>
  </property>
</Properties>
</file>