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xl/comments1.xml" ContentType="application/vnd.openxmlformats-officedocument.spreadsheetml.comment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E:\1_NBG presentasjon\"/>
    </mc:Choice>
  </mc:AlternateContent>
  <xr:revisionPtr revIDLastSave="0" documentId="13_ncr:1_{1B6FD0A5-11D8-4B92-9522-17F27314A228}" xr6:coauthVersionLast="47" xr6:coauthVersionMax="47" xr10:uidLastSave="{00000000-0000-0000-0000-000000000000}"/>
  <bookViews>
    <workbookView xWindow="-120" yWindow="-120" windowWidth="29040" windowHeight="15720" tabRatio="576" activeTab="1" xr2:uid="{00000000-000D-0000-FFFF-FFFF00000000}"/>
  </bookViews>
  <sheets>
    <sheet name="How to start" sheetId="50" r:id="rId1"/>
    <sheet name="INPUT and RESULTS" sheetId="37" r:id="rId2"/>
    <sheet name="Parameter tables" sheetId="5" r:id="rId3"/>
    <sheet name="Rock strength" sheetId="55" r:id="rId4"/>
    <sheet name="RMR support" sheetId="21" r:id="rId5"/>
    <sheet name="Q-support" sheetId="20" r:id="rId6"/>
    <sheet name="RMi-support" sheetId="22" r:id="rId7"/>
    <sheet name="Support capacity" sheetId="54"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37" l="1"/>
  <c r="H55" i="37"/>
  <c r="P63" i="37" l="1"/>
  <c r="E126" i="37"/>
  <c r="P61" i="37"/>
  <c r="C54" i="37"/>
  <c r="C51" i="37"/>
  <c r="G52" i="37"/>
  <c r="R8" i="37" l="1"/>
  <c r="H61" i="37" l="1"/>
  <c r="F171" i="37"/>
  <c r="L185" i="5" l="1"/>
  <c r="L186" i="5"/>
  <c r="L187" i="5"/>
  <c r="L188" i="5"/>
  <c r="L189" i="5"/>
  <c r="L184" i="5"/>
  <c r="N155" i="37"/>
  <c r="L155" i="37"/>
  <c r="L47" i="5"/>
  <c r="F47" i="5"/>
  <c r="O63" i="37"/>
  <c r="L61" i="37"/>
  <c r="H67" i="37"/>
  <c r="K67" i="37"/>
  <c r="G67" i="37" l="1"/>
  <c r="R44" i="37"/>
  <c r="S44" i="37" s="1"/>
  <c r="N39" i="37"/>
  <c r="N40" i="37"/>
  <c r="U2" i="37" l="1"/>
  <c r="U1" i="37"/>
  <c r="R5" i="37"/>
  <c r="L66" i="37"/>
  <c r="R11" i="37"/>
  <c r="E124" i="37"/>
  <c r="E120" i="37"/>
  <c r="K185" i="5"/>
  <c r="K186" i="5"/>
  <c r="K187" i="5"/>
  <c r="K188" i="5"/>
  <c r="K189" i="5"/>
  <c r="K190" i="5"/>
  <c r="K184" i="5"/>
  <c r="J185" i="5"/>
  <c r="J186" i="5"/>
  <c r="J187" i="5"/>
  <c r="J188" i="5"/>
  <c r="J189" i="5"/>
  <c r="J190" i="5"/>
  <c r="J184" i="5"/>
  <c r="F124" i="37"/>
  <c r="L113" i="37"/>
  <c r="D10" i="5"/>
  <c r="D9" i="5" l="1"/>
  <c r="L9" i="5" s="1"/>
  <c r="E147" i="37" s="1"/>
  <c r="D8" i="5"/>
  <c r="L8" i="5" s="1"/>
  <c r="S170" i="5" s="1"/>
  <c r="L7" i="5"/>
  <c r="AB170" i="5" l="1"/>
  <c r="I66" i="37"/>
  <c r="T44" i="37"/>
  <c r="O38" i="37"/>
  <c r="O39" i="37"/>
  <c r="Z170" i="5" l="1"/>
  <c r="G190" i="37"/>
  <c r="K171" i="37" l="1"/>
  <c r="M34" i="37"/>
  <c r="AA25" i="37"/>
  <c r="R48" i="37"/>
  <c r="T36" i="37"/>
  <c r="T47" i="37"/>
  <c r="T46" i="37"/>
  <c r="E170" i="37"/>
  <c r="R47" i="37"/>
  <c r="S47" i="37" s="1"/>
  <c r="E175" i="37"/>
  <c r="M114" i="37" l="1"/>
  <c r="T11" i="37"/>
  <c r="F56" i="5"/>
  <c r="F38" i="5"/>
  <c r="AB21" i="37" l="1"/>
  <c r="AC21" i="37" s="1"/>
  <c r="AB20" i="37"/>
  <c r="AB19" i="37"/>
  <c r="AG19" i="37" l="1"/>
  <c r="T8" i="37"/>
  <c r="C139" i="37"/>
  <c r="L69" i="37" l="1"/>
  <c r="I90" i="37" l="1"/>
  <c r="C102" i="37" l="1"/>
  <c r="AD28" i="37"/>
  <c r="AC29" i="37" s="1"/>
  <c r="AB40" i="37"/>
  <c r="AB39" i="37"/>
  <c r="X187" i="5"/>
  <c r="X186" i="5"/>
  <c r="E157" i="37"/>
  <c r="F157" i="37" s="1"/>
  <c r="M174" i="37"/>
  <c r="AD29" i="37" l="1"/>
  <c r="AD170" i="5"/>
  <c r="E166" i="37" l="1"/>
  <c r="R46" i="37" l="1"/>
  <c r="S46" i="37" s="1"/>
  <c r="R171" i="37"/>
  <c r="R170" i="37"/>
  <c r="R169" i="37"/>
  <c r="R168" i="37"/>
  <c r="L120" i="37" l="1"/>
  <c r="L151" i="37" l="1"/>
  <c r="T34" i="37"/>
  <c r="T9" i="37" l="1"/>
  <c r="T13" i="37"/>
  <c r="T14" i="37"/>
  <c r="T15" i="37"/>
  <c r="T16" i="37"/>
  <c r="T18" i="37"/>
  <c r="T20" i="37"/>
  <c r="T21" i="37"/>
  <c r="T22" i="37"/>
  <c r="T24" i="37"/>
  <c r="T27" i="37"/>
  <c r="T30" i="37"/>
  <c r="T32" i="37"/>
  <c r="J128" i="37"/>
  <c r="R53" i="37"/>
  <c r="D68" i="37"/>
  <c r="I93" i="37" l="1"/>
  <c r="J129" i="37"/>
  <c r="C92" i="37" s="1"/>
  <c r="J132" i="37"/>
  <c r="J130" i="37"/>
  <c r="C94" i="37" s="1"/>
  <c r="R37" i="37"/>
  <c r="R54" i="37"/>
  <c r="K167" i="37"/>
  <c r="C137" i="37"/>
  <c r="R38" i="37"/>
  <c r="R9" i="37"/>
  <c r="T38" i="37"/>
  <c r="C93" i="37" l="1"/>
  <c r="I91" i="37" l="1"/>
  <c r="K170" i="37"/>
  <c r="R16" i="37"/>
  <c r="S16" i="37" s="1"/>
  <c r="R14" i="37"/>
  <c r="R13" i="37"/>
  <c r="R15" i="37"/>
  <c r="R52" i="37" l="1"/>
  <c r="F93" i="37" l="1"/>
  <c r="J190" i="37"/>
  <c r="L190" i="37" s="1"/>
  <c r="T41" i="37"/>
  <c r="T40" i="37"/>
  <c r="T42" i="37"/>
  <c r="T43" i="37"/>
  <c r="T39" i="37"/>
  <c r="R43" i="37" l="1"/>
  <c r="S43" i="37" s="1"/>
  <c r="R42" i="37"/>
  <c r="S42" i="37" s="1"/>
  <c r="R41" i="37"/>
  <c r="R39" i="37"/>
  <c r="S39" i="37" s="1"/>
  <c r="R40" i="37"/>
  <c r="S40" i="37" s="1"/>
  <c r="L95" i="37"/>
  <c r="L70" i="37" l="1"/>
  <c r="K100" i="37"/>
  <c r="I100" i="37"/>
  <c r="L67" i="37"/>
  <c r="N154" i="37"/>
  <c r="M154" i="37" s="1"/>
  <c r="D116" i="37"/>
  <c r="P62" i="37" l="1"/>
  <c r="J68" i="37"/>
  <c r="T57" i="37"/>
  <c r="M81" i="37"/>
  <c r="M74" i="37"/>
  <c r="I70" i="37" l="1"/>
  <c r="I68" i="37"/>
  <c r="Q48" i="37"/>
  <c r="I69" i="37"/>
  <c r="L125" i="37"/>
  <c r="G68" i="37" l="1"/>
  <c r="O60" i="37"/>
  <c r="AB24" i="37"/>
  <c r="AF24" i="37" s="1"/>
  <c r="AB23" i="37"/>
  <c r="AB22" i="37"/>
  <c r="AC22" i="37" s="1"/>
  <c r="Z22" i="37"/>
  <c r="AG21" i="37" l="1"/>
  <c r="E127" i="37"/>
  <c r="D127" i="37"/>
  <c r="K188" i="37"/>
  <c r="K187" i="37"/>
  <c r="K189" i="37"/>
  <c r="R36" i="37"/>
  <c r="R34" i="37"/>
  <c r="S34" i="37" s="1"/>
  <c r="R32" i="37"/>
  <c r="S32" i="37" s="1"/>
  <c r="R30" i="37"/>
  <c r="R26" i="37"/>
  <c r="R24" i="37"/>
  <c r="R22" i="37"/>
  <c r="R21" i="37"/>
  <c r="S21" i="37" s="1"/>
  <c r="R18" i="37"/>
  <c r="R20" i="37"/>
  <c r="S20" i="37" s="1"/>
  <c r="C55" i="37"/>
  <c r="I56" i="37" s="1"/>
  <c r="C53" i="37"/>
  <c r="C52" i="37"/>
  <c r="C50" i="37"/>
  <c r="D55" i="37" l="1"/>
  <c r="F159" i="37"/>
  <c r="M190" i="37"/>
  <c r="E188" i="37"/>
  <c r="E189" i="37"/>
  <c r="E187" i="37"/>
  <c r="O167" i="5"/>
  <c r="B187" i="37" s="1"/>
  <c r="D126" i="37"/>
  <c r="E172" i="37"/>
  <c r="J100" i="37" l="1"/>
  <c r="E174" i="37"/>
  <c r="E173" i="37"/>
  <c r="J189" i="37"/>
  <c r="L189" i="37" s="1"/>
  <c r="M189" i="37" s="1"/>
  <c r="J188" i="37"/>
  <c r="L188" i="37" s="1"/>
  <c r="G189" i="37"/>
  <c r="G188" i="37"/>
  <c r="D189" i="37"/>
  <c r="F189" i="37" s="1"/>
  <c r="D190" i="37"/>
  <c r="F190" i="37" s="1"/>
  <c r="N190" i="37" s="1"/>
  <c r="D188" i="37"/>
  <c r="F188" i="37" s="1"/>
  <c r="J187" i="37"/>
  <c r="L187" i="37" s="1"/>
  <c r="M187" i="37" s="1"/>
  <c r="G187" i="37"/>
  <c r="D187" i="37"/>
  <c r="F187" i="37" s="1"/>
  <c r="D123" i="37"/>
  <c r="F123" i="37" s="1"/>
  <c r="D122" i="37"/>
  <c r="F122" i="37" s="1"/>
  <c r="D121" i="37"/>
  <c r="S26" i="37"/>
  <c r="E152" i="37"/>
  <c r="E153" i="37"/>
  <c r="L191" i="37" l="1"/>
  <c r="L192" i="37" s="1"/>
  <c r="E167" i="37" s="1"/>
  <c r="M188" i="37"/>
  <c r="O168" i="5"/>
  <c r="B188" i="37" s="1"/>
  <c r="O169" i="5"/>
  <c r="B189" i="37" s="1"/>
  <c r="O170" i="5"/>
  <c r="B190" i="37" s="1"/>
  <c r="M191" i="37" l="1"/>
  <c r="M192" i="37" s="1"/>
  <c r="S41" i="37"/>
  <c r="E168" i="37" l="1"/>
  <c r="N114" i="37"/>
  <c r="L41" i="5"/>
  <c r="D60" i="5"/>
  <c r="D46" i="5"/>
  <c r="L46" i="5" s="1"/>
  <c r="D44" i="5"/>
  <c r="K61" i="37" l="1"/>
  <c r="G61" i="37"/>
  <c r="E67" i="37" s="1"/>
  <c r="M60" i="37" l="1"/>
  <c r="J60" i="37"/>
  <c r="L147" i="37" l="1"/>
  <c r="D136" i="37" l="1"/>
  <c r="J69" i="37" l="1"/>
  <c r="J74" i="37"/>
  <c r="J81" i="37"/>
  <c r="L88" i="37"/>
  <c r="L80" i="37"/>
  <c r="L72" i="37"/>
  <c r="I78" i="37"/>
  <c r="L78" i="37"/>
  <c r="N73" i="37"/>
  <c r="M73" i="37" s="1"/>
  <c r="N76" i="37"/>
  <c r="M76" i="37" s="1"/>
  <c r="J64" i="37" l="1"/>
  <c r="M116" i="37" l="1"/>
  <c r="C63" i="5"/>
  <c r="C60" i="5"/>
  <c r="Z168" i="5"/>
  <c r="AB168" i="5"/>
  <c r="AD168" i="5"/>
  <c r="M168" i="5" s="1"/>
  <c r="Z169" i="5"/>
  <c r="AB169" i="5"/>
  <c r="AD169" i="5"/>
  <c r="M169" i="5" s="1"/>
  <c r="K73" i="37" l="1"/>
  <c r="J73" i="37" s="1"/>
  <c r="J116" i="37"/>
  <c r="D134" i="37" l="1"/>
  <c r="G136" i="37" s="1"/>
  <c r="H98" i="37" l="1"/>
  <c r="AD167" i="5"/>
  <c r="M167" i="5" s="1"/>
  <c r="AB167" i="5"/>
  <c r="Z167" i="5"/>
  <c r="M170" i="5"/>
  <c r="L86" i="37" l="1"/>
  <c r="L85" i="37"/>
  <c r="K76" i="37" l="1"/>
  <c r="I76" i="37" s="1"/>
  <c r="M69" i="37"/>
  <c r="G60" i="37"/>
  <c r="C61" i="37"/>
  <c r="C60" i="37"/>
  <c r="L75" i="37" l="1"/>
  <c r="L82" i="37"/>
  <c r="L84" i="37" s="1"/>
  <c r="L79" i="37"/>
  <c r="L71" i="37"/>
  <c r="L77" i="37" l="1"/>
  <c r="AB38" i="37"/>
  <c r="Z37" i="37"/>
  <c r="D135" i="37" l="1"/>
  <c r="G135" i="37" s="1"/>
  <c r="D67" i="37"/>
  <c r="H97" i="37" l="1"/>
  <c r="S36" i="37" l="1"/>
  <c r="S30" i="37"/>
  <c r="S24" i="37"/>
  <c r="S22" i="37"/>
  <c r="L152" i="37" l="1"/>
  <c r="M148" i="37"/>
  <c r="L148" i="37"/>
  <c r="M147" i="37"/>
  <c r="R163" i="37"/>
  <c r="R162" i="37"/>
  <c r="R161" i="37"/>
  <c r="R160" i="37"/>
  <c r="R159" i="37"/>
  <c r="T158" i="37"/>
  <c r="F155" i="37"/>
  <c r="E155" i="37"/>
  <c r="T155" i="37"/>
  <c r="R154" i="37"/>
  <c r="R153" i="37"/>
  <c r="R152" i="37"/>
  <c r="R151" i="37"/>
  <c r="F149" i="37"/>
  <c r="E149" i="37"/>
  <c r="F148" i="37"/>
  <c r="E148" i="37"/>
  <c r="F147" i="37"/>
  <c r="R147" i="37"/>
  <c r="R146" i="37"/>
  <c r="R145" i="37"/>
  <c r="R144" i="37"/>
  <c r="R143" i="37"/>
  <c r="R139" i="37"/>
  <c r="R138" i="37"/>
  <c r="R137" i="37"/>
  <c r="R136" i="37"/>
  <c r="R135" i="37"/>
  <c r="L126" i="37"/>
  <c r="R129" i="37"/>
  <c r="R128" i="37"/>
  <c r="F125" i="37"/>
  <c r="D125" i="37"/>
  <c r="R127" i="37"/>
  <c r="R126" i="37"/>
  <c r="R125" i="37"/>
  <c r="R124" i="37"/>
  <c r="R123" i="37"/>
  <c r="L119" i="37"/>
  <c r="R122" i="37"/>
  <c r="L118" i="37"/>
  <c r="F119" i="37"/>
  <c r="D119" i="37"/>
  <c r="F118" i="37"/>
  <c r="D118" i="37"/>
  <c r="H119" i="37"/>
  <c r="R118" i="37"/>
  <c r="H118" i="37"/>
  <c r="R117" i="37"/>
  <c r="R116" i="37"/>
  <c r="R115" i="37"/>
  <c r="G159" i="37" l="1"/>
  <c r="L153" i="37"/>
  <c r="E177" i="37"/>
  <c r="E178" i="37"/>
  <c r="F116" i="37"/>
  <c r="X185" i="5" l="1"/>
  <c r="T186" i="5" l="1"/>
  <c r="D11" i="5" l="1"/>
  <c r="L11" i="5" s="1"/>
  <c r="D12" i="5"/>
  <c r="L12" i="5" s="1"/>
  <c r="D13" i="5"/>
  <c r="L13" i="5" s="1"/>
  <c r="D14" i="5"/>
  <c r="L14" i="5" s="1"/>
  <c r="D15" i="5"/>
  <c r="L15" i="5" s="1"/>
  <c r="D16" i="5"/>
  <c r="L16" i="5" s="1"/>
  <c r="F17" i="5"/>
  <c r="D55" i="5" l="1"/>
  <c r="C55" i="5" s="1"/>
  <c r="K169" i="37" l="1"/>
  <c r="R51" i="37"/>
  <c r="S9" i="37"/>
  <c r="J32" i="5"/>
  <c r="D37" i="5"/>
  <c r="J37" i="5" s="1"/>
  <c r="D34" i="5"/>
  <c r="J34" i="5" s="1"/>
  <c r="D35" i="5"/>
  <c r="J35" i="5" s="1"/>
  <c r="D36" i="5"/>
  <c r="J36" i="5" s="1"/>
  <c r="D33" i="5"/>
  <c r="J33" i="5" s="1"/>
  <c r="D52" i="5"/>
  <c r="C52" i="5" s="1"/>
  <c r="S15" i="37" s="1"/>
  <c r="D53" i="5"/>
  <c r="C53" i="5" s="1"/>
  <c r="D54" i="5"/>
  <c r="C54" i="5" s="1"/>
  <c r="D51" i="5"/>
  <c r="C51" i="5" s="1"/>
  <c r="L44" i="5"/>
  <c r="E158" i="37" s="1"/>
  <c r="D45" i="5"/>
  <c r="L45" i="5" s="1"/>
  <c r="D43" i="5"/>
  <c r="L43" i="5" s="1"/>
  <c r="D42" i="5"/>
  <c r="L42" i="5" s="1"/>
  <c r="D113" i="37" l="1"/>
  <c r="G158" i="37"/>
  <c r="F158" i="37" s="1"/>
  <c r="E159" i="37"/>
  <c r="L93" i="37"/>
  <c r="T185" i="5"/>
  <c r="L10" i="5"/>
  <c r="F59" i="5"/>
  <c r="D61" i="5"/>
  <c r="C61" i="5" s="1"/>
  <c r="D62" i="5"/>
  <c r="C62" i="5" s="1"/>
  <c r="R74" i="5"/>
  <c r="Q75" i="5"/>
  <c r="R75" i="5"/>
  <c r="Q76" i="5"/>
  <c r="R76" i="5"/>
  <c r="Q77" i="5"/>
  <c r="R77" i="5"/>
  <c r="Q78" i="5"/>
  <c r="R78" i="5"/>
  <c r="Q79" i="5"/>
  <c r="R79" i="5"/>
  <c r="Q80" i="5"/>
  <c r="R80" i="5"/>
  <c r="Q81" i="5"/>
  <c r="R81" i="5"/>
  <c r="E160" i="37" l="1"/>
  <c r="L154" i="37"/>
  <c r="D115" i="37"/>
  <c r="M115" i="37"/>
  <c r="S14" i="37"/>
  <c r="F113" i="37" s="1"/>
  <c r="F114" i="37" s="1"/>
  <c r="D114" i="37" s="1"/>
  <c r="L114" i="37" s="1"/>
  <c r="L91" i="37"/>
  <c r="M70" i="37" s="1"/>
  <c r="C113" i="37"/>
  <c r="R50" i="37" l="1"/>
  <c r="E162" i="37"/>
  <c r="N81" i="37"/>
  <c r="N74" i="37"/>
  <c r="S13" i="37"/>
  <c r="L149" i="37"/>
  <c r="M149" i="37" s="1"/>
  <c r="L150" i="37"/>
  <c r="M150" i="37" s="1"/>
  <c r="L115" i="37"/>
  <c r="K115" i="37" s="1"/>
  <c r="F117" i="37"/>
  <c r="H120" i="37" s="1"/>
  <c r="D117" i="37"/>
  <c r="S18" i="37"/>
  <c r="L117" i="37" l="1"/>
  <c r="F115" i="37"/>
  <c r="D120" i="37" l="1"/>
  <c r="E150" i="37"/>
  <c r="E151" i="37"/>
  <c r="L121" i="37"/>
  <c r="K121" i="37" s="1"/>
  <c r="F120" i="37"/>
  <c r="F121" i="37"/>
  <c r="L123" i="37"/>
  <c r="H125" i="37"/>
  <c r="H126" i="37"/>
  <c r="F152" i="37"/>
  <c r="L122" i="37"/>
  <c r="K122" i="37" s="1"/>
  <c r="F151" i="37"/>
  <c r="F153" i="37"/>
  <c r="F150" i="37" l="1"/>
  <c r="E154" i="37"/>
  <c r="E156" i="37" s="1"/>
  <c r="D124" i="37"/>
  <c r="D128" i="37" s="1"/>
  <c r="H127" i="37"/>
  <c r="L124" i="37"/>
  <c r="N121" i="37" s="1"/>
  <c r="L127" i="37" s="1"/>
  <c r="C91" i="37" l="1"/>
  <c r="C70" i="37" s="1"/>
  <c r="L134" i="37"/>
  <c r="L133" i="37"/>
  <c r="E161" i="37"/>
  <c r="L156" i="37" s="1"/>
  <c r="K161" i="37" s="1"/>
  <c r="E52" i="37"/>
  <c r="M127" i="37"/>
  <c r="F128" i="37"/>
  <c r="F50" i="37" s="1"/>
  <c r="D140" i="37"/>
  <c r="D130" i="37"/>
  <c r="D132" i="37"/>
  <c r="E50" i="37"/>
  <c r="J50" i="37" l="1"/>
  <c r="K159" i="37"/>
  <c r="E53" i="37" s="1"/>
  <c r="B56" i="37" s="1"/>
  <c r="M156" i="37"/>
  <c r="K163" i="37"/>
  <c r="L178" i="37"/>
  <c r="H53" i="37"/>
  <c r="L177" i="37"/>
  <c r="K165" i="37"/>
  <c r="M53" i="37" s="1"/>
  <c r="L179" i="37"/>
  <c r="C76" i="37"/>
  <c r="D101" i="37"/>
  <c r="C100" i="37" s="1"/>
  <c r="H50" i="37"/>
  <c r="E101" i="37"/>
  <c r="F52" i="37"/>
  <c r="E55" i="37"/>
  <c r="L173" i="37" l="1"/>
  <c r="M163" i="37"/>
  <c r="K53" i="37" s="1"/>
  <c r="M159" i="37"/>
  <c r="F53" i="37" s="1"/>
  <c r="J53" i="37"/>
  <c r="M165" i="37"/>
  <c r="M161" i="37"/>
  <c r="C97" i="37"/>
  <c r="C81" i="37"/>
  <c r="C86" i="37"/>
  <c r="C85" i="37"/>
  <c r="C79" i="37"/>
  <c r="C74" i="37"/>
  <c r="C80" i="37"/>
  <c r="C96" i="37"/>
  <c r="C98" i="37"/>
  <c r="C82" i="37"/>
  <c r="C72" i="37"/>
  <c r="C87" i="37"/>
  <c r="C83" i="37"/>
  <c r="C73" i="37"/>
  <c r="C99" i="37"/>
  <c r="C75" i="37"/>
  <c r="P52" i="37"/>
  <c r="Q52" i="37" s="1"/>
  <c r="O52" i="37" l="1"/>
  <c r="P50" i="37"/>
  <c r="P55" i="37" l="1"/>
  <c r="Q55" i="37" s="1"/>
  <c r="P53" i="37"/>
  <c r="G167" i="37" l="1"/>
  <c r="G114" i="37" s="1"/>
  <c r="G113" i="37" l="1"/>
  <c r="E169" i="37"/>
  <c r="E114" i="37"/>
  <c r="E117" i="37"/>
  <c r="E130" i="37" l="1"/>
  <c r="E128" i="37"/>
  <c r="D129" i="37" s="1"/>
  <c r="E51" i="37" l="1"/>
  <c r="G128" i="37"/>
  <c r="F51" i="37" s="1"/>
  <c r="E132" i="37"/>
  <c r="D133" i="37" l="1"/>
  <c r="H51" i="37" s="1"/>
  <c r="D131" i="37"/>
  <c r="J51" i="37" s="1"/>
  <c r="F129" i="37"/>
  <c r="H95" i="37" s="1"/>
  <c r="C129" i="37"/>
  <c r="G95" i="37"/>
  <c r="F72" i="37"/>
  <c r="F86" i="37"/>
  <c r="F85" i="37"/>
  <c r="F73" i="37"/>
  <c r="F75" i="37"/>
  <c r="F77" i="37"/>
  <c r="H99" i="37"/>
  <c r="G87" i="37" l="1"/>
  <c r="H88" i="37"/>
  <c r="C138" i="37"/>
  <c r="F82" i="37"/>
  <c r="G74" i="37"/>
  <c r="H74" i="37" s="1"/>
  <c r="F91" i="37"/>
  <c r="F80" i="37"/>
  <c r="F83" i="37"/>
  <c r="G96" i="37"/>
  <c r="G81" i="37"/>
  <c r="H81" i="37" s="1"/>
  <c r="F79" i="37"/>
  <c r="F92" i="37" l="1"/>
  <c r="G70" i="37" s="1"/>
  <c r="G168" i="37" l="1"/>
  <c r="K74" i="37" s="1"/>
  <c r="K81" i="37" l="1"/>
  <c r="H187" i="37" l="1"/>
  <c r="I187" i="37" s="1"/>
  <c r="N187" i="37" s="1"/>
  <c r="H188" i="37"/>
  <c r="I188" i="37" s="1"/>
  <c r="N188" i="37" s="1"/>
  <c r="H189" i="37"/>
  <c r="I189" i="37"/>
  <c r="N189" i="37"/>
  <c r="N192" i="37" s="1"/>
  <c r="I192" i="37" l="1"/>
  <c r="E171" i="37" s="1"/>
  <c r="E180" i="37"/>
  <c r="E179" i="37"/>
  <c r="E181" i="37" l="1"/>
  <c r="L161" i="37" s="1"/>
  <c r="F181" i="37"/>
  <c r="K99" i="37" s="1"/>
  <c r="L165" i="37"/>
  <c r="J99" i="37" l="1"/>
  <c r="L159" i="37"/>
  <c r="L163" i="37"/>
  <c r="N163" i="37" s="1"/>
  <c r="K54" i="37" s="1"/>
  <c r="K160" i="37"/>
  <c r="N159" i="37"/>
  <c r="F54" i="37" s="1"/>
  <c r="L174" i="37"/>
  <c r="L63" i="37" s="1"/>
  <c r="K162" i="37"/>
  <c r="N161" i="37"/>
  <c r="K166" i="37"/>
  <c r="N165" i="37"/>
  <c r="K164" i="37"/>
  <c r="I89" i="37" l="1"/>
  <c r="I88" i="37" s="1"/>
  <c r="K63" i="37"/>
  <c r="M54" i="37"/>
  <c r="I82" i="37"/>
  <c r="I83" i="37" s="1"/>
  <c r="M166" i="37"/>
  <c r="I79" i="37"/>
  <c r="I80" i="37"/>
  <c r="J98" i="37"/>
  <c r="M162" i="37"/>
  <c r="H54" i="37"/>
  <c r="J96" i="37"/>
  <c r="I72" i="37"/>
  <c r="I71" i="37"/>
  <c r="M164" i="37"/>
  <c r="K97" i="37" s="1"/>
  <c r="I85" i="37"/>
  <c r="J54" i="37"/>
  <c r="J97" i="37"/>
  <c r="I75" i="37"/>
  <c r="I77" i="37" s="1"/>
  <c r="E54" i="37"/>
  <c r="M160" i="37"/>
  <c r="K95" i="37" s="1"/>
  <c r="K168" i="37"/>
  <c r="I92" i="37" s="1"/>
  <c r="J70" i="37" s="1"/>
  <c r="J95" i="37"/>
  <c r="I87" i="37" l="1"/>
  <c r="N90" i="37"/>
  <c r="I86"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Arild</author>
    <author>Arild Palmstrøm</author>
  </authors>
  <commentList>
    <comment ref="Q13" authorId="0" shapeId="0" xr:uid="{390FE708-C14E-4F61-894F-0A9A0A603A7A}">
      <text>
        <r>
          <rPr>
            <sz val="6"/>
            <color indexed="81"/>
            <rFont val="Calibri"/>
            <family val="2"/>
            <scheme val="minor"/>
          </rPr>
          <t>Fill in for more accurate input of DJ          (RQD is used in the RMR- and Q-systems)</t>
        </r>
        <r>
          <rPr>
            <sz val="9"/>
            <color indexed="81"/>
            <rFont val="Tahoma"/>
            <family val="2"/>
          </rPr>
          <t xml:space="preserve">
</t>
        </r>
      </text>
    </comment>
    <comment ref="Q14" authorId="0" shapeId="0" xr:uid="{D77EBE4E-32A2-41C7-A1C3-C0B11B1E8D63}">
      <text>
        <r>
          <rPr>
            <sz val="6"/>
            <color indexed="81"/>
            <rFont val="Calibri"/>
            <family val="2"/>
            <scheme val="minor"/>
          </rPr>
          <t>Fill in for more accurate input of DJ         
 (Vb is used in the RMi-system)</t>
        </r>
        <r>
          <rPr>
            <sz val="9"/>
            <color indexed="81"/>
            <rFont val="Tahoma"/>
            <family val="2"/>
          </rPr>
          <t xml:space="preserve">
</t>
        </r>
      </text>
    </comment>
    <comment ref="Q15" authorId="0" shapeId="0" xr:uid="{9B3BC687-06B2-4275-BCE4-053C68B8C6BF}">
      <text>
        <r>
          <rPr>
            <sz val="6"/>
            <color indexed="81"/>
            <rFont val="Calibri"/>
            <family val="2"/>
            <scheme val="minor"/>
          </rPr>
          <t>Jv can be used for more accurate input of DJ                (Vb and/or RQD may be calculated from Jv)</t>
        </r>
        <r>
          <rPr>
            <sz val="9"/>
            <color indexed="81"/>
            <rFont val="Tahoma"/>
            <family val="2"/>
          </rPr>
          <t xml:space="preserve">
</t>
        </r>
      </text>
    </comment>
    <comment ref="G36" authorId="0" shapeId="0" xr:uid="{22D874D0-8668-4C66-8AC7-5C83A7A20400}">
      <text>
        <r>
          <rPr>
            <sz val="6"/>
            <color indexed="81"/>
            <rFont val="Tahoma"/>
            <family val="2"/>
          </rPr>
          <t>Includes poor interlocking</t>
        </r>
      </text>
    </comment>
    <comment ref="Q41" authorId="0" shapeId="0" xr:uid="{A56871DD-5622-42BA-9A47-0ED6654203C2}">
      <text>
        <r>
          <rPr>
            <sz val="6"/>
            <color indexed="81"/>
            <rFont val="Tahoma"/>
            <family val="2"/>
          </rPr>
          <t>A value here may improve the input of the weakness zone condition</t>
        </r>
        <r>
          <rPr>
            <sz val="9"/>
            <color indexed="81"/>
            <rFont val="Tahoma"/>
            <family val="2"/>
          </rPr>
          <t xml:space="preserve">
</t>
        </r>
      </text>
    </comment>
    <comment ref="B46" authorId="1" shapeId="0" xr:uid="{086E593B-7141-4596-848B-87F20E0366C9}">
      <text>
        <r>
          <rPr>
            <b/>
            <sz val="6"/>
            <color indexed="81"/>
            <rFont val="Tahoma"/>
            <family val="2"/>
          </rPr>
          <t>see Table I in the 'Parameter tables sheet</t>
        </r>
        <r>
          <rPr>
            <sz val="9"/>
            <color indexed="81"/>
            <rFont val="Tahoma"/>
            <family val="2"/>
          </rPr>
          <t xml:space="preserve">
</t>
        </r>
      </text>
    </comment>
  </commentList>
</comments>
</file>

<file path=xl/sharedStrings.xml><?xml version="1.0" encoding="utf-8"?>
<sst xmlns="http://schemas.openxmlformats.org/spreadsheetml/2006/main" count="1925" uniqueCount="1250">
  <si>
    <t>Q</t>
  </si>
  <si>
    <t>RMi</t>
  </si>
  <si>
    <t>C1</t>
  </si>
  <si>
    <t>C2</t>
  </si>
  <si>
    <t>A1</t>
  </si>
  <si>
    <t>B1</t>
  </si>
  <si>
    <t>B2</t>
  </si>
  <si>
    <t>B3</t>
  </si>
  <si>
    <t>D1</t>
  </si>
  <si>
    <t>D2</t>
  </si>
  <si>
    <t>D3</t>
  </si>
  <si>
    <t>Block volume  (Vb)</t>
  </si>
  <si>
    <t>Number of joint sets</t>
  </si>
  <si>
    <t>Correlations of the input parameters to Q, RMR and RMi</t>
  </si>
  <si>
    <t>A1 =</t>
  </si>
  <si>
    <r>
      <t>s</t>
    </r>
    <r>
      <rPr>
        <vertAlign val="subscript"/>
        <sz val="7"/>
        <color indexed="8"/>
        <rFont val="Arial"/>
        <family val="2"/>
      </rPr>
      <t>c</t>
    </r>
    <r>
      <rPr>
        <sz val="7"/>
        <color indexed="8"/>
        <rFont val="Arial"/>
        <family val="2"/>
      </rPr>
      <t xml:space="preserve">  =</t>
    </r>
  </si>
  <si>
    <t>a</t>
  </si>
  <si>
    <t>b</t>
  </si>
  <si>
    <t>Rock</t>
  </si>
  <si>
    <t>Very low strength</t>
  </si>
  <si>
    <t>c</t>
  </si>
  <si>
    <t>Low strength</t>
  </si>
  <si>
    <t>d</t>
  </si>
  <si>
    <t>Moderate strength</t>
  </si>
  <si>
    <t>e</t>
  </si>
  <si>
    <t>Medium strength</t>
  </si>
  <si>
    <t>f</t>
  </si>
  <si>
    <t>High strength</t>
  </si>
  <si>
    <t>g</t>
  </si>
  <si>
    <t>Very high strength</t>
  </si>
  <si>
    <t>DEGREE OF JOINTING</t>
  </si>
  <si>
    <t>A2 =</t>
  </si>
  <si>
    <t>RQD =</t>
  </si>
  <si>
    <t>Good</t>
  </si>
  <si>
    <t>Fair</t>
  </si>
  <si>
    <t>Poor</t>
  </si>
  <si>
    <t>Very poor</t>
  </si>
  <si>
    <t>A3 =</t>
  </si>
  <si>
    <t>Very large spacing</t>
  </si>
  <si>
    <t>Large spacing</t>
  </si>
  <si>
    <t>Moderate spacing</t>
  </si>
  <si>
    <t>Small spacing</t>
  </si>
  <si>
    <t>Very small spacing</t>
  </si>
  <si>
    <t>Jn =</t>
  </si>
  <si>
    <t>Nj =</t>
  </si>
  <si>
    <t>No or few joints</t>
  </si>
  <si>
    <t>1  joint set</t>
  </si>
  <si>
    <t>1  joint set + random joints</t>
  </si>
  <si>
    <t>2  joint sets</t>
  </si>
  <si>
    <t>2  joint sets + random joints</t>
  </si>
  <si>
    <t>3  joint sets</t>
  </si>
  <si>
    <t>3  joint sets + random joints</t>
  </si>
  <si>
    <t>h</t>
  </si>
  <si>
    <r>
      <t xml:space="preserve">4  joint sets or more; </t>
    </r>
    <r>
      <rPr>
        <sz val="7"/>
        <color indexed="8"/>
        <rFont val="Arial"/>
        <family val="2"/>
      </rPr>
      <t>heavily jointed</t>
    </r>
  </si>
  <si>
    <t>i</t>
  </si>
  <si>
    <t>Crushed, earth-like</t>
  </si>
  <si>
    <t>-</t>
  </si>
  <si>
    <t>JOINT CHARACTERISTICS</t>
  </si>
  <si>
    <t>A4c =</t>
  </si>
  <si>
    <t>(js =)</t>
  </si>
  <si>
    <t>js =</t>
  </si>
  <si>
    <t>Rough or irregular</t>
  </si>
  <si>
    <t>Slightly rough</t>
  </si>
  <si>
    <t>Smooth</t>
  </si>
  <si>
    <t>Polished</t>
  </si>
  <si>
    <t>Slickensided</t>
  </si>
  <si>
    <t>(jw =)</t>
  </si>
  <si>
    <t>jw =</t>
  </si>
  <si>
    <t>Strongly undulating</t>
  </si>
  <si>
    <t>Moderately undulating</t>
  </si>
  <si>
    <t>Slightly undulating</t>
  </si>
  <si>
    <t>Planar</t>
  </si>
  <si>
    <t>A4e =</t>
  </si>
  <si>
    <t>Ja =</t>
  </si>
  <si>
    <t>jA =</t>
  </si>
  <si>
    <t>Healed or welded joints</t>
  </si>
  <si>
    <t>A4d =</t>
  </si>
  <si>
    <t xml:space="preserve"> -</t>
  </si>
  <si>
    <t>Friction materials (silt, sand, etc.)</t>
  </si>
  <si>
    <t>Swelling clay materials</t>
  </si>
  <si>
    <t>A4a =</t>
  </si>
  <si>
    <t>jL =</t>
  </si>
  <si>
    <t>Parting (very short, thin joint)</t>
  </si>
  <si>
    <t>&lt; 1m</t>
  </si>
  <si>
    <t>Very short joint</t>
  </si>
  <si>
    <t>0.3 – 1m</t>
  </si>
  <si>
    <t>Short joint</t>
  </si>
  <si>
    <t>1 – 3m</t>
  </si>
  <si>
    <t>Medium joint</t>
  </si>
  <si>
    <t>3 – 10m</t>
  </si>
  <si>
    <t>Long joint</t>
  </si>
  <si>
    <t>A4b =</t>
  </si>
  <si>
    <t>Very tight</t>
  </si>
  <si>
    <t>A &lt; 0.1mm</t>
  </si>
  <si>
    <t>Tight</t>
  </si>
  <si>
    <t>Very open</t>
  </si>
  <si>
    <t>B =</t>
  </si>
  <si>
    <t>Co =</t>
  </si>
  <si>
    <t>Very favourable</t>
  </si>
  <si>
    <t>Favourable</t>
  </si>
  <si>
    <t>Unfavourable</t>
  </si>
  <si>
    <t>Very unfavourable</t>
  </si>
  <si>
    <t>A5 =</t>
  </si>
  <si>
    <t>Jw =</t>
  </si>
  <si>
    <t>GW =</t>
  </si>
  <si>
    <t>Wet</t>
  </si>
  <si>
    <t>Dripping</t>
  </si>
  <si>
    <t>SL =</t>
  </si>
  <si>
    <t>Heavy rock burst</t>
  </si>
  <si>
    <t>Mild squeezing</t>
  </si>
  <si>
    <t>Heavy squeezing</t>
  </si>
  <si>
    <t>RQD</t>
  </si>
  <si>
    <t>RMR system</t>
  </si>
  <si>
    <t>Parameter</t>
  </si>
  <si>
    <t>Value</t>
  </si>
  <si>
    <t>Rating</t>
  </si>
  <si>
    <t>RMR =</t>
  </si>
  <si>
    <t>Q =</t>
  </si>
  <si>
    <t>Limit of RMR:</t>
  </si>
  <si>
    <t>Qc =</t>
  </si>
  <si>
    <t>Limit of Q:</t>
  </si>
  <si>
    <t>Vb =</t>
  </si>
  <si>
    <t>RMi =</t>
  </si>
  <si>
    <t>roof</t>
  </si>
  <si>
    <t>wall</t>
  </si>
  <si>
    <r>
      <t>Gc</t>
    </r>
    <r>
      <rPr>
        <vertAlign val="subscript"/>
        <sz val="8"/>
        <rFont val="Arial"/>
        <family val="2"/>
      </rPr>
      <t>wall</t>
    </r>
    <r>
      <rPr>
        <sz val="8"/>
        <rFont val="Arial"/>
        <family val="2"/>
      </rPr>
      <t xml:space="preserve"> =</t>
    </r>
  </si>
  <si>
    <t>Tz &gt; Dt?</t>
  </si>
  <si>
    <t>Tz &gt; Wt?</t>
  </si>
  <si>
    <t>m</t>
  </si>
  <si>
    <t>Stress level</t>
  </si>
  <si>
    <t>Joint orientation</t>
  </si>
  <si>
    <t>Water</t>
  </si>
  <si>
    <t>F</t>
  </si>
  <si>
    <t>Stress reduction factor</t>
  </si>
  <si>
    <t>Joint alteration factor</t>
  </si>
  <si>
    <t>Joint roughness factor</t>
  </si>
  <si>
    <t>Joint water factor</t>
  </si>
  <si>
    <t xml:space="preserve"> - </t>
  </si>
  <si>
    <t>Size ratio</t>
  </si>
  <si>
    <t>Ground water</t>
  </si>
  <si>
    <t>Tz =</t>
  </si>
  <si>
    <t>Zone orientation</t>
  </si>
  <si>
    <t>Rock strength</t>
  </si>
  <si>
    <t>Tunnel data</t>
  </si>
  <si>
    <t>Q value</t>
  </si>
  <si>
    <t>Dt =</t>
  </si>
  <si>
    <t>Wt =</t>
  </si>
  <si>
    <t>Span =</t>
  </si>
  <si>
    <t>Gc =</t>
  </si>
  <si>
    <t>Classification of RMi</t>
  </si>
  <si>
    <t xml:space="preserve"> TERM</t>
  </si>
  <si>
    <t>all strikes</t>
  </si>
  <si>
    <t>0.5 - 2</t>
  </si>
  <si>
    <t>50 - 200</t>
  </si>
  <si>
    <t>200 - 400</t>
  </si>
  <si>
    <t xml:space="preserve"> 5 - 50</t>
  </si>
  <si>
    <t xml:space="preserve"> 5 - 10</t>
  </si>
  <si>
    <t xml:space="preserve"> 10 - 20</t>
  </si>
  <si>
    <t>Very high</t>
  </si>
  <si>
    <t>Low</t>
  </si>
  <si>
    <t>Very low</t>
  </si>
  <si>
    <t>&gt;</t>
  </si>
  <si>
    <t>&lt;</t>
  </si>
  <si>
    <t>Medium stress level</t>
  </si>
  <si>
    <t>High stress level</t>
  </si>
  <si>
    <t>5 - 10</t>
  </si>
  <si>
    <t xml:space="preserve"> 8 - 12</t>
  </si>
  <si>
    <t xml:space="preserve"> 13 - 20</t>
  </si>
  <si>
    <t>Classification of  RMR</t>
  </si>
  <si>
    <t>Classification of  Q</t>
  </si>
  <si>
    <t>Zone width vs. tunnel size</t>
  </si>
  <si>
    <t>A</t>
  </si>
  <si>
    <t>B</t>
  </si>
  <si>
    <t>C</t>
  </si>
  <si>
    <t>D</t>
  </si>
  <si>
    <t>E</t>
  </si>
  <si>
    <t>G</t>
  </si>
  <si>
    <t>JOINTING PATTERN</t>
  </si>
  <si>
    <t>Length &lt; ~0.3m</t>
  </si>
  <si>
    <t>Classification of Size ratio (Sr)</t>
  </si>
  <si>
    <t>Sr =</t>
  </si>
  <si>
    <t>fair</t>
  </si>
  <si>
    <t>t &lt; 5mm</t>
  </si>
  <si>
    <t>t &gt; 5mm</t>
  </si>
  <si>
    <t>&lt; 5mm</t>
  </si>
  <si>
    <t xml:space="preserve"> &gt; 5mm</t>
  </si>
  <si>
    <t>Classification of ground condition factor  (Gc)</t>
  </si>
  <si>
    <t>h // i</t>
  </si>
  <si>
    <t>j // k</t>
  </si>
  <si>
    <t>l // m</t>
  </si>
  <si>
    <t>n // o</t>
  </si>
  <si>
    <t>(t = joint thickness)</t>
  </si>
  <si>
    <t>For filled joints →</t>
  </si>
  <si>
    <t xml:space="preserve">  Note: Q and RMi apply a combination of joint weathering and infilling, while RMR has input of both weathering and infilling</t>
  </si>
  <si>
    <r>
      <t>Q</t>
    </r>
    <r>
      <rPr>
        <vertAlign val="superscript"/>
        <sz val="8"/>
        <rFont val="Arial"/>
        <family val="2"/>
      </rPr>
      <t>1)</t>
    </r>
  </si>
  <si>
    <t>Joint length</t>
  </si>
  <si>
    <t>Overstressing in deformable rock mass</t>
  </si>
  <si>
    <t>Rock quality designation  (RQD)</t>
  </si>
  <si>
    <t>D4</t>
  </si>
  <si>
    <t>D5</t>
  </si>
  <si>
    <t>Joint alteration or weathering</t>
  </si>
  <si>
    <t>For RMi:</t>
  </si>
  <si>
    <t>G1</t>
  </si>
  <si>
    <t>G2</t>
  </si>
  <si>
    <t>ROCK STRESSES (stresses around tunnel)</t>
  </si>
  <si>
    <t>Overstressing; stresses exceed rockmass strength</t>
  </si>
  <si>
    <t>Stress level; stresses below rockmass strength</t>
  </si>
  <si>
    <t>Discontinuous joints</t>
  </si>
  <si>
    <t>Type of weakness zone</t>
  </si>
  <si>
    <t>in roof</t>
  </si>
  <si>
    <t>l</t>
  </si>
  <si>
    <t>o</t>
  </si>
  <si>
    <t>j</t>
  </si>
  <si>
    <t>k</t>
  </si>
  <si>
    <t>n</t>
  </si>
  <si>
    <r>
      <t xml:space="preserve">SL </t>
    </r>
    <r>
      <rPr>
        <sz val="7"/>
        <rFont val="Arial"/>
        <family val="2"/>
      </rPr>
      <t>=</t>
    </r>
  </si>
  <si>
    <t>Range of Ja and jA given in the Q and in the RMi systems</t>
  </si>
  <si>
    <t>Gc</t>
  </si>
  <si>
    <t>Hard, cohesive materials (clay, talc, chlorite)</t>
  </si>
  <si>
    <r>
      <rPr>
        <i/>
        <vertAlign val="superscript"/>
        <sz val="7"/>
        <color indexed="8"/>
        <rFont val="Arial"/>
        <family val="2"/>
      </rPr>
      <t xml:space="preserve"> 1)</t>
    </r>
    <r>
      <rPr>
        <i/>
        <sz val="7"/>
        <color indexed="8"/>
        <rFont val="Arial"/>
        <family val="2"/>
      </rPr>
      <t xml:space="preserve"> Jr is found from:  js x jw</t>
    </r>
  </si>
  <si>
    <t>IL =</t>
  </si>
  <si>
    <t>H1</t>
  </si>
  <si>
    <r>
      <t>1)</t>
    </r>
    <r>
      <rPr>
        <i/>
        <sz val="7"/>
        <rFont val="Arial"/>
        <family val="2"/>
      </rPr>
      <t xml:space="preserve"> Where more than one joint set occurs, the rating for the smallest spacing should be applied</t>
    </r>
  </si>
  <si>
    <t>wall      contact *)</t>
  </si>
  <si>
    <t>no wall contact **)</t>
  </si>
  <si>
    <t>None</t>
  </si>
  <si>
    <t>Soft, cohesive materials (soft clay)</t>
  </si>
  <si>
    <t>when the ground water has minor influence on stability</t>
  </si>
  <si>
    <t>when the ground water has some influence on stability</t>
  </si>
  <si>
    <t>when the ground water has significant influence on stability</t>
  </si>
  <si>
    <r>
      <t>p</t>
    </r>
    <r>
      <rPr>
        <vertAlign val="subscript"/>
        <sz val="7"/>
        <rFont val="Arial"/>
        <family val="2"/>
      </rPr>
      <t>w</t>
    </r>
    <r>
      <rPr>
        <sz val="7"/>
        <rFont val="Arial"/>
        <family val="2"/>
      </rPr>
      <t xml:space="preserve"> &lt; 1 kg/cm²</t>
    </r>
  </si>
  <si>
    <r>
      <t>p</t>
    </r>
    <r>
      <rPr>
        <vertAlign val="subscript"/>
        <sz val="7"/>
        <rFont val="Arial"/>
        <family val="2"/>
      </rPr>
      <t>w</t>
    </r>
    <r>
      <rPr>
        <sz val="7"/>
        <rFont val="Arial"/>
        <family val="2"/>
      </rPr>
      <t xml:space="preserve"> &gt; 10 kg/cm²</t>
    </r>
  </si>
  <si>
    <t>Not included</t>
  </si>
  <si>
    <t>Weakness zones and shears are not explicitly included in RMR</t>
  </si>
  <si>
    <r>
      <t xml:space="preserve">Joint plane undulation or waviness </t>
    </r>
    <r>
      <rPr>
        <sz val="8"/>
        <color indexed="8"/>
        <rFont val="Arial"/>
        <family val="2"/>
      </rPr>
      <t>(large scale roughness)</t>
    </r>
  </si>
  <si>
    <t>A crude value of RQD may be found from RQD = 110-4.5Jv (Jv is the volumetric joint count)</t>
  </si>
  <si>
    <t>Joint sets</t>
  </si>
  <si>
    <r>
      <rPr>
        <i/>
        <sz val="7"/>
        <rFont val="Symbol"/>
        <family val="1"/>
        <charset val="2"/>
      </rPr>
      <t>b</t>
    </r>
    <r>
      <rPr>
        <i/>
        <sz val="7"/>
        <rFont val="Arial"/>
        <family val="2"/>
      </rPr>
      <t xml:space="preserve"> =</t>
    </r>
  </si>
  <si>
    <t>C3, C4</t>
  </si>
  <si>
    <r>
      <rPr>
        <sz val="7"/>
        <rFont val="Symbol"/>
        <family val="1"/>
        <charset val="2"/>
      </rPr>
      <t>b</t>
    </r>
    <r>
      <rPr>
        <vertAlign val="subscript"/>
        <sz val="7"/>
        <rFont val="Arial"/>
        <family val="2"/>
      </rPr>
      <t>used</t>
    </r>
    <r>
      <rPr>
        <sz val="7"/>
        <rFont val="Arial"/>
        <family val="2"/>
      </rPr>
      <t xml:space="preserve"> =</t>
    </r>
  </si>
  <si>
    <t>Cubical blocks (or compact blocks)</t>
  </si>
  <si>
    <t>Ratio  largest side/smallest side</t>
  </si>
  <si>
    <t>Partly included in 'Interlocking of rockmass structure'</t>
  </si>
  <si>
    <r>
      <t>Cg = RMi /</t>
    </r>
    <r>
      <rPr>
        <sz val="7"/>
        <rFont val="Symbol"/>
        <family val="1"/>
        <charset val="2"/>
      </rPr>
      <t>s</t>
    </r>
    <r>
      <rPr>
        <vertAlign val="subscript"/>
        <sz val="7"/>
        <rFont val="Symbol"/>
        <family val="1"/>
        <charset val="2"/>
      </rPr>
      <t>q</t>
    </r>
    <r>
      <rPr>
        <sz val="7"/>
        <rFont val="Cambria"/>
        <family val="1"/>
      </rPr>
      <t xml:space="preserve"> ≈</t>
    </r>
  </si>
  <si>
    <t xml:space="preserve">Moderate slabbing </t>
  </si>
  <si>
    <t>after &gt;1 hr</t>
  </si>
  <si>
    <t xml:space="preserve">Slabbing and rock burst </t>
  </si>
  <si>
    <t>after few minutes</t>
  </si>
  <si>
    <t>In ROOF</t>
  </si>
  <si>
    <t>BLOCK VOLUME (Vb) in  m³</t>
  </si>
  <si>
    <t>1 - 2.5</t>
  </si>
  <si>
    <r>
      <t xml:space="preserve">Vb may be calculated from Vb = </t>
    </r>
    <r>
      <rPr>
        <i/>
        <sz val="7"/>
        <color indexed="8"/>
        <rFont val="Symbol"/>
        <family val="1"/>
        <charset val="2"/>
      </rPr>
      <t>b</t>
    </r>
    <r>
      <rPr>
        <i/>
        <sz val="7"/>
        <color indexed="8"/>
        <rFont val="Arial"/>
        <family val="2"/>
      </rPr>
      <t>*Jv</t>
    </r>
    <r>
      <rPr>
        <i/>
        <vertAlign val="superscript"/>
        <sz val="7"/>
        <color indexed="8"/>
        <rFont val="Arial"/>
        <family val="2"/>
      </rPr>
      <t>-3</t>
    </r>
    <r>
      <rPr>
        <i/>
        <sz val="7"/>
        <color indexed="8"/>
        <rFont val="Arial"/>
        <family val="2"/>
      </rPr>
      <t>; A crude value of Vb may be found from 36*Jv</t>
    </r>
    <r>
      <rPr>
        <i/>
        <vertAlign val="superscript"/>
        <sz val="7"/>
        <color indexed="8"/>
        <rFont val="Arial"/>
        <family val="2"/>
      </rPr>
      <t>-3</t>
    </r>
    <r>
      <rPr>
        <i/>
        <sz val="7"/>
        <color indexed="8"/>
        <rFont val="Arial"/>
        <family val="2"/>
      </rPr>
      <t xml:space="preserve">  (</t>
    </r>
    <r>
      <rPr>
        <i/>
        <sz val="7"/>
        <color indexed="8"/>
        <rFont val="Symbol"/>
        <family val="1"/>
        <charset val="2"/>
      </rPr>
      <t>b</t>
    </r>
    <r>
      <rPr>
        <i/>
        <sz val="7"/>
        <color indexed="8"/>
        <rFont val="Arial"/>
        <family val="2"/>
      </rPr>
      <t xml:space="preserve"> = block shape factor)</t>
    </r>
  </si>
  <si>
    <t>Comment</t>
  </si>
  <si>
    <t>Joint spacing rating</t>
  </si>
  <si>
    <r>
      <t xml:space="preserve">Orientation of main joint set  </t>
    </r>
    <r>
      <rPr>
        <sz val="8"/>
        <rFont val="Arial"/>
        <family val="2"/>
      </rPr>
      <t>(C3 in roof; C4 in walls)</t>
    </r>
  </si>
  <si>
    <r>
      <rPr>
        <sz val="8"/>
        <color indexed="8"/>
        <rFont val="Symbol"/>
        <family val="1"/>
        <charset val="2"/>
      </rPr>
      <t>s</t>
    </r>
    <r>
      <rPr>
        <vertAlign val="subscript"/>
        <sz val="8"/>
        <color indexed="8"/>
        <rFont val="Arial"/>
        <family val="2"/>
      </rPr>
      <t>c</t>
    </r>
    <r>
      <rPr>
        <sz val="8"/>
        <color indexed="8"/>
        <rFont val="Arial"/>
        <family val="2"/>
      </rPr>
      <t xml:space="preserve"> </t>
    </r>
    <r>
      <rPr>
        <sz val="7"/>
        <color indexed="8"/>
        <rFont val="Arial"/>
        <family val="2"/>
      </rPr>
      <t>(MPa)</t>
    </r>
  </si>
  <si>
    <t>Decomposed / Coating of cohesive materials (clay, chlorite, etc.)</t>
  </si>
  <si>
    <t>Sr</t>
  </si>
  <si>
    <t>B4</t>
  </si>
  <si>
    <t>input</t>
  </si>
  <si>
    <t xml:space="preserve">input </t>
  </si>
  <si>
    <t>wall contact                        or    t &lt;  ca. 5mm</t>
  </si>
  <si>
    <t>For filled joints</t>
  </si>
  <si>
    <t>Very rough or interlocking</t>
  </si>
  <si>
    <t>Note:  jR = Jr = js x jw = 1 for filled joints</t>
  </si>
  <si>
    <t>t &lt; ca. 5mm</t>
  </si>
  <si>
    <t>t &gt; ca. 5mm</t>
  </si>
  <si>
    <t>1 - 2.5 kg/cm²</t>
  </si>
  <si>
    <t>2.5 - 10 kg/cm²</t>
  </si>
  <si>
    <t>10 - 25 litres/min</t>
  </si>
  <si>
    <t>25 - 125 litres/min</t>
  </si>
  <si>
    <t>0.05 - 1</t>
  </si>
  <si>
    <t>0.1 - 0.2</t>
  </si>
  <si>
    <t>inflow &lt; 10 litres/min</t>
  </si>
  <si>
    <t>inflow &gt; 125 litres/min</t>
  </si>
  <si>
    <t>Outside limit of RMR</t>
  </si>
  <si>
    <t>Flowing, decaying</t>
  </si>
  <si>
    <t>Gushing /outwashing</t>
  </si>
  <si>
    <r>
      <t xml:space="preserve">no water inflow </t>
    </r>
    <r>
      <rPr>
        <vertAlign val="superscript"/>
        <sz val="7"/>
        <rFont val="Arial"/>
        <family val="2"/>
      </rPr>
      <t>2)</t>
    </r>
  </si>
  <si>
    <t>SRF adjusted for walls &gt; 10m</t>
  </si>
  <si>
    <r>
      <t>Overstressing                      (</t>
    </r>
    <r>
      <rPr>
        <sz val="7"/>
        <rFont val="Symbol"/>
        <family val="1"/>
        <charset val="2"/>
      </rPr>
      <t>s</t>
    </r>
    <r>
      <rPr>
        <vertAlign val="subscript"/>
        <sz val="7"/>
        <rFont val="Symbol"/>
        <family val="1"/>
        <charset val="2"/>
      </rPr>
      <t>q</t>
    </r>
    <r>
      <rPr>
        <vertAlign val="subscript"/>
        <sz val="7"/>
        <rFont val="Arial"/>
        <family val="2"/>
      </rPr>
      <t xml:space="preserve"> </t>
    </r>
    <r>
      <rPr>
        <sz val="7"/>
        <rFont val="Arial"/>
        <family val="2"/>
      </rPr>
      <t xml:space="preserve"> &gt; </t>
    </r>
    <r>
      <rPr>
        <sz val="7"/>
        <rFont val="Symbol"/>
        <family val="1"/>
        <charset val="2"/>
      </rPr>
      <t>s</t>
    </r>
    <r>
      <rPr>
        <vertAlign val="subscript"/>
        <sz val="7"/>
        <rFont val="Arial"/>
        <family val="2"/>
      </rPr>
      <t>cm</t>
    </r>
    <r>
      <rPr>
        <sz val="7"/>
        <rFont val="Arial"/>
        <family val="2"/>
      </rPr>
      <t>)   in massive, brittle rock</t>
    </r>
  </si>
  <si>
    <t>Ht &lt; 10m</t>
  </si>
  <si>
    <t>Ht &gt; 20m</t>
  </si>
  <si>
    <t xml:space="preserve"> = SRF</t>
  </si>
  <si>
    <t xml:space="preserve"> = SL</t>
  </si>
  <si>
    <r>
      <t>Q</t>
    </r>
    <r>
      <rPr>
        <vertAlign val="subscript"/>
        <sz val="8"/>
        <rFont val="Arial"/>
        <family val="2"/>
      </rPr>
      <t>wall</t>
    </r>
    <r>
      <rPr>
        <sz val="8"/>
        <rFont val="Arial"/>
        <family val="2"/>
      </rPr>
      <t xml:space="preserve"> =</t>
    </r>
  </si>
  <si>
    <r>
      <t xml:space="preserve">Inflow of water to tunnel                </t>
    </r>
    <r>
      <rPr>
        <b/>
        <sz val="7"/>
        <rFont val="Arial"/>
        <family val="2"/>
      </rPr>
      <t xml:space="preserve"> </t>
    </r>
    <r>
      <rPr>
        <sz val="7"/>
        <rFont val="Arial"/>
        <family val="2"/>
      </rPr>
      <t xml:space="preserve"> and/</t>
    </r>
    <r>
      <rPr>
        <b/>
        <sz val="7"/>
        <rFont val="Arial"/>
        <family val="2"/>
      </rPr>
      <t xml:space="preserve">or </t>
    </r>
  </si>
  <si>
    <t>strike</t>
  </si>
  <si>
    <t>all</t>
  </si>
  <si>
    <t>≤</t>
  </si>
  <si>
    <t>Answer:</t>
  </si>
  <si>
    <t>in one wall</t>
  </si>
  <si>
    <t>Range of SRF in Q system</t>
  </si>
  <si>
    <r>
      <t xml:space="preserve">strike ( </t>
    </r>
    <r>
      <rPr>
        <vertAlign val="superscript"/>
        <sz val="7"/>
        <rFont val="Arial"/>
        <family val="2"/>
      </rPr>
      <t>o</t>
    </r>
    <r>
      <rPr>
        <sz val="7"/>
        <rFont val="Arial"/>
        <family val="2"/>
      </rPr>
      <t>)</t>
    </r>
  </si>
  <si>
    <t>m³ or larger</t>
  </si>
  <si>
    <t>Ht = 10 -20m</t>
  </si>
  <si>
    <t>Adjustment used for influence of high stresses in walls</t>
  </si>
  <si>
    <t>For wall height (Ht)</t>
  </si>
  <si>
    <t>Jw  in Q system</t>
  </si>
  <si>
    <t>Values of  RQD  and  Vb  will automatically be calculated if only input of  Jv  is given.</t>
  </si>
  <si>
    <t>Number of JOINT SETS used</t>
  </si>
  <si>
    <t>Input:</t>
  </si>
  <si>
    <r>
      <t xml:space="preserve">dip ( </t>
    </r>
    <r>
      <rPr>
        <vertAlign val="superscript"/>
        <sz val="7"/>
        <rFont val="Arial"/>
        <family val="2"/>
      </rPr>
      <t>o</t>
    </r>
    <r>
      <rPr>
        <sz val="7"/>
        <rFont val="Arial"/>
        <family val="2"/>
      </rPr>
      <t>)</t>
    </r>
  </si>
  <si>
    <r>
      <t xml:space="preserve">strike ( </t>
    </r>
    <r>
      <rPr>
        <vertAlign val="superscript"/>
        <sz val="7"/>
        <color indexed="8"/>
        <rFont val="Arial"/>
        <family val="2"/>
      </rPr>
      <t>o</t>
    </r>
    <r>
      <rPr>
        <sz val="7"/>
        <color indexed="8"/>
        <rFont val="Arial"/>
        <family val="2"/>
      </rPr>
      <t>)</t>
    </r>
  </si>
  <si>
    <r>
      <t xml:space="preserve">dip ( </t>
    </r>
    <r>
      <rPr>
        <vertAlign val="superscript"/>
        <sz val="7"/>
        <color indexed="8"/>
        <rFont val="Arial"/>
        <family val="2"/>
      </rPr>
      <t>o</t>
    </r>
    <r>
      <rPr>
        <sz val="7"/>
        <color indexed="8"/>
        <rFont val="Arial"/>
        <family val="2"/>
      </rPr>
      <t>)</t>
    </r>
  </si>
  <si>
    <t>Em =</t>
  </si>
  <si>
    <t>Deformation modulus</t>
  </si>
  <si>
    <t>GPa (for Q &gt; 1)</t>
  </si>
  <si>
    <t>*) Wall contact before 10cm shear;   **) No wall contact when sheared;</t>
  </si>
  <si>
    <r>
      <t>Crack</t>
    </r>
    <r>
      <rPr>
        <vertAlign val="superscript"/>
        <sz val="7"/>
        <rFont val="Arial"/>
        <family val="2"/>
      </rPr>
      <t xml:space="preserve"> </t>
    </r>
    <r>
      <rPr>
        <sz val="7"/>
        <rFont val="Arial"/>
        <family val="2"/>
      </rPr>
      <t>(irregular break)</t>
    </r>
  </si>
  <si>
    <r>
      <t xml:space="preserve">10 – 30m </t>
    </r>
    <r>
      <rPr>
        <vertAlign val="superscript"/>
        <sz val="7"/>
        <rFont val="Arial"/>
        <family val="2"/>
      </rPr>
      <t>1)</t>
    </r>
  </si>
  <si>
    <r>
      <t xml:space="preserve">&gt; 10m </t>
    </r>
    <r>
      <rPr>
        <vertAlign val="superscript"/>
        <sz val="7"/>
        <rFont val="Arial"/>
        <family val="2"/>
      </rPr>
      <t>2)</t>
    </r>
  </si>
  <si>
    <t>Filled joint, or seam</t>
  </si>
  <si>
    <r>
      <t xml:space="preserve">"Crack" has been introduced in this spreadsheet;  </t>
    </r>
    <r>
      <rPr>
        <i/>
        <vertAlign val="superscript"/>
        <sz val="7"/>
        <rFont val="Arial"/>
        <family val="2"/>
      </rPr>
      <t xml:space="preserve">1) </t>
    </r>
    <r>
      <rPr>
        <i/>
        <sz val="7"/>
        <rFont val="Arial"/>
        <family val="2"/>
      </rPr>
      <t xml:space="preserve">Length 10 – 20 m  is applied in the RMR;  </t>
    </r>
    <r>
      <rPr>
        <i/>
        <vertAlign val="superscript"/>
        <sz val="7"/>
        <rFont val="Arial"/>
        <family val="2"/>
      </rPr>
      <t>2)</t>
    </r>
    <r>
      <rPr>
        <i/>
        <sz val="7"/>
        <rFont val="Arial"/>
        <family val="2"/>
      </rPr>
      <t xml:space="preserve"> Used in cases where most joints in the location are filled</t>
    </r>
  </si>
  <si>
    <t>Vb</t>
  </si>
  <si>
    <t>Closed</t>
  </si>
  <si>
    <r>
      <t>Strike (</t>
    </r>
    <r>
      <rPr>
        <vertAlign val="superscript"/>
        <sz val="8"/>
        <rFont val="Arial"/>
        <family val="2"/>
      </rPr>
      <t>o</t>
    </r>
    <r>
      <rPr>
        <sz val="8"/>
        <rFont val="Arial"/>
        <family val="2"/>
      </rPr>
      <t>) =</t>
    </r>
  </si>
  <si>
    <r>
      <t>Dip (</t>
    </r>
    <r>
      <rPr>
        <vertAlign val="superscript"/>
        <sz val="8"/>
        <rFont val="Arial"/>
        <family val="2"/>
      </rPr>
      <t>o</t>
    </r>
    <r>
      <rPr>
        <sz val="8"/>
        <rFont val="Arial"/>
        <family val="2"/>
      </rPr>
      <t>) =</t>
    </r>
  </si>
  <si>
    <t>In one WALL</t>
  </si>
  <si>
    <t>In opposite WALL</t>
  </si>
  <si>
    <t>0.1 – 1mm</t>
  </si>
  <si>
    <t>1 - 5mm</t>
  </si>
  <si>
    <t>&gt; 5mm</t>
  </si>
  <si>
    <t>Open</t>
  </si>
  <si>
    <t>What is favourable or unfavourable orientation?</t>
  </si>
  <si>
    <r>
      <t xml:space="preserve">Joint wall smoothness </t>
    </r>
    <r>
      <rPr>
        <sz val="8"/>
        <color indexed="8"/>
        <rFont val="Arial"/>
        <family val="2"/>
      </rPr>
      <t xml:space="preserve">(small scale roughness)  </t>
    </r>
    <r>
      <rPr>
        <sz val="7"/>
        <color indexed="8"/>
        <rFont val="Arial"/>
        <family val="2"/>
      </rPr>
      <t>(called 'roughness' in the RMR)</t>
    </r>
  </si>
  <si>
    <t>e =</t>
  </si>
  <si>
    <t>in the opposite wall</t>
  </si>
  <si>
    <t>Ground condition factor</t>
  </si>
  <si>
    <t>adjusted for walls &gt; 10m</t>
  </si>
  <si>
    <t/>
  </si>
  <si>
    <t>Joint weathering A4e =</t>
  </si>
  <si>
    <t>CLASSIFICATIONS USED</t>
  </si>
  <si>
    <t>Tunnel span (m)</t>
  </si>
  <si>
    <t>Wall height (m)</t>
  </si>
  <si>
    <t>10 - 25</t>
  </si>
  <si>
    <t>1 - 5 MPa</t>
  </si>
  <si>
    <t>Medium</t>
  </si>
  <si>
    <t>Large</t>
  </si>
  <si>
    <t>Very large</t>
  </si>
  <si>
    <t>Small</t>
  </si>
  <si>
    <t>Very small</t>
  </si>
  <si>
    <t>Extremely dense</t>
  </si>
  <si>
    <t xml:space="preserve">Input for Jv may be used instead of  Vb and/or RQD </t>
  </si>
  <si>
    <t>GPa (for RMR &gt; 50)</t>
  </si>
  <si>
    <t>GPa (for RMR &lt; 50)</t>
  </si>
  <si>
    <t>thickness</t>
  </si>
  <si>
    <t>random only</t>
  </si>
  <si>
    <t>1 set + random</t>
  </si>
  <si>
    <t>3 joint sets</t>
  </si>
  <si>
    <t>4 joint sets</t>
  </si>
  <si>
    <t>crushed</t>
  </si>
  <si>
    <t>very rough</t>
  </si>
  <si>
    <t>rough</t>
  </si>
  <si>
    <t>slightly rough</t>
  </si>
  <si>
    <t>smooth</t>
  </si>
  <si>
    <t>polished</t>
  </si>
  <si>
    <t>slickensided</t>
  </si>
  <si>
    <t>filled joint (seam)</t>
  </si>
  <si>
    <t>planar</t>
  </si>
  <si>
    <t>slightly undul.</t>
  </si>
  <si>
    <t>strongly undul.</t>
  </si>
  <si>
    <t>healed</t>
  </si>
  <si>
    <t>fresh</t>
  </si>
  <si>
    <t>clay coating</t>
  </si>
  <si>
    <t>swelling clay</t>
  </si>
  <si>
    <t>soft clay</t>
  </si>
  <si>
    <t>hard clay</t>
  </si>
  <si>
    <t>fissure</t>
  </si>
  <si>
    <t>crack</t>
  </si>
  <si>
    <t>short joint</t>
  </si>
  <si>
    <t>long joint</t>
  </si>
  <si>
    <t>seam (filled joint)</t>
  </si>
  <si>
    <t>favourable</t>
  </si>
  <si>
    <t>unfavourable</t>
  </si>
  <si>
    <t>gushing</t>
  </si>
  <si>
    <t>dripping</t>
  </si>
  <si>
    <t>wet</t>
  </si>
  <si>
    <t>sand/silt coat.</t>
  </si>
  <si>
    <t>mod. joint</t>
  </si>
  <si>
    <t>Date:</t>
  </si>
  <si>
    <t>in wall</t>
  </si>
  <si>
    <t>in opposite wall</t>
  </si>
  <si>
    <t>2 joint sets</t>
  </si>
  <si>
    <t>mod. burst</t>
  </si>
  <si>
    <t>UCS =</t>
  </si>
  <si>
    <t>low stress</t>
  </si>
  <si>
    <t>high stress</t>
  </si>
  <si>
    <t>mod. undul.</t>
  </si>
  <si>
    <t>sand /silt</t>
  </si>
  <si>
    <t>Q-value including UCS</t>
  </si>
  <si>
    <t xml:space="preserve">Limit of RMi: </t>
  </si>
  <si>
    <t>none</t>
  </si>
  <si>
    <t>Ground class</t>
  </si>
  <si>
    <r>
      <t xml:space="preserve">Excavation </t>
    </r>
    <r>
      <rPr>
        <sz val="9"/>
        <rFont val="Arial"/>
        <family val="2"/>
      </rPr>
      <t>(drill and blast)</t>
    </r>
  </si>
  <si>
    <t>Rock support</t>
  </si>
  <si>
    <r>
      <t>Rock bolts</t>
    </r>
    <r>
      <rPr>
        <sz val="9"/>
        <rFont val="Arial"/>
        <family val="2"/>
      </rPr>
      <t xml:space="preserve"> </t>
    </r>
  </si>
  <si>
    <t>Shotcrete</t>
  </si>
  <si>
    <t>Steel sets</t>
  </si>
  <si>
    <t>(20 mm diam., fully bonded)</t>
  </si>
  <si>
    <t>RMR: 81-100</t>
  </si>
  <si>
    <t>2. Good rock</t>
  </si>
  <si>
    <t>RMR: 61-80</t>
  </si>
  <si>
    <t>Complete support 20 m from face</t>
  </si>
  <si>
    <t>3. Fair rock</t>
  </si>
  <si>
    <t>RMR: 41-60</t>
  </si>
  <si>
    <t>4. Poor rock</t>
  </si>
  <si>
    <t>RMR: 21-40</t>
  </si>
  <si>
    <t>5. Very poor rock</t>
  </si>
  <si>
    <t>RMR &lt; 21</t>
  </si>
  <si>
    <r>
      <t>RMR</t>
    </r>
    <r>
      <rPr>
        <vertAlign val="subscript"/>
        <sz val="8"/>
        <rFont val="Arial"/>
        <family val="2"/>
      </rPr>
      <t>1989</t>
    </r>
  </si>
  <si>
    <r>
      <t>RMR</t>
    </r>
    <r>
      <rPr>
        <vertAlign val="subscript"/>
        <sz val="8"/>
        <color indexed="8"/>
        <rFont val="Arial"/>
        <family val="2"/>
      </rPr>
      <t>1989</t>
    </r>
  </si>
  <si>
    <r>
      <t>RMR</t>
    </r>
    <r>
      <rPr>
        <vertAlign val="subscript"/>
        <sz val="9"/>
        <rFont val="Arial"/>
        <family val="2"/>
      </rPr>
      <t>1989</t>
    </r>
  </si>
  <si>
    <t>Locality:</t>
  </si>
  <si>
    <t>Observer:</t>
  </si>
  <si>
    <t>moderate</t>
  </si>
  <si>
    <t>Project:</t>
  </si>
  <si>
    <t>Rock weathering</t>
  </si>
  <si>
    <r>
      <t>Classification of joint or zone orientations (for strikes 0 - 90</t>
    </r>
    <r>
      <rPr>
        <vertAlign val="superscript"/>
        <sz val="9"/>
        <rFont val="Arial"/>
        <family val="2"/>
      </rPr>
      <t>o</t>
    </r>
    <r>
      <rPr>
        <sz val="9"/>
        <rFont val="Arial"/>
        <family val="2"/>
      </rPr>
      <t>)</t>
    </r>
  </si>
  <si>
    <t>Unweathered / fresh</t>
  </si>
  <si>
    <t>Weathering extends throughout rock mass and the rock material is partly friable. Rock has no lustre. All material except quartz is discoloured. Rock can be excavated with geologist's pick.</t>
  </si>
  <si>
    <t>Residual soil</t>
  </si>
  <si>
    <t xml:space="preserve">Soil material with complete disintegration of texture, structure and mineralogy of the parent rock. </t>
  </si>
  <si>
    <t>A2</t>
  </si>
  <si>
    <r>
      <t xml:space="preserve">NOTE!  GW  is related to groundwater influence on rockmass stability.  </t>
    </r>
    <r>
      <rPr>
        <i/>
        <vertAlign val="superscript"/>
        <sz val="7"/>
        <rFont val="Arial"/>
        <family val="2"/>
      </rPr>
      <t>1)</t>
    </r>
    <r>
      <rPr>
        <i/>
        <sz val="7"/>
        <rFont val="Arial"/>
        <family val="2"/>
      </rPr>
      <t xml:space="preserve"> Water pressure used in Q-system;  </t>
    </r>
    <r>
      <rPr>
        <i/>
        <vertAlign val="superscript"/>
        <sz val="7"/>
        <rFont val="Arial"/>
        <family val="2"/>
      </rPr>
      <t>2)</t>
    </r>
    <r>
      <rPr>
        <i/>
        <sz val="7"/>
        <rFont val="Arial"/>
        <family val="2"/>
      </rPr>
      <t xml:space="preserve"> Inflow per 10m tunnel as used in RMR</t>
    </r>
  </si>
  <si>
    <t>Slightly weathered</t>
  </si>
  <si>
    <t>Moderately weathered</t>
  </si>
  <si>
    <t>Highly weathered</t>
  </si>
  <si>
    <t>Completely weathered</t>
  </si>
  <si>
    <t>Rock is totally discoloured and decomposed and in a friable condition with only fragments of the rock texture and structure preserved. The external appearance is that of a soil.</t>
  </si>
  <si>
    <t>Slight discoloration extends through the greater part of the rock mass. The rock is not friable (except in the case of poorly cemented sedimentary rocks). Discontinuities are stained and/or contain a filling of altered materials.</t>
  </si>
  <si>
    <t>Penetrative weathering developed on open disco¬ntinuity surfaces but only slight weathering of rock material. Discontinuities are discoloured and discoloration can extend into rock up to a few mm from discontinuity surface.</t>
  </si>
  <si>
    <t>No visible signs of weathering. Rock fresh, crystals bright. Few discontinuities may show slight staining.</t>
  </si>
  <si>
    <r>
      <t>water pressure (p</t>
    </r>
    <r>
      <rPr>
        <vertAlign val="subscript"/>
        <sz val="7"/>
        <rFont val="Arial"/>
        <family val="2"/>
      </rPr>
      <t>w</t>
    </r>
    <r>
      <rPr>
        <sz val="7"/>
        <rFont val="Arial"/>
        <family val="2"/>
      </rPr>
      <t>)</t>
    </r>
    <r>
      <rPr>
        <vertAlign val="superscript"/>
        <sz val="7"/>
        <rFont val="Arial"/>
        <family val="2"/>
      </rPr>
      <t>1)</t>
    </r>
  </si>
  <si>
    <t>high</t>
  </si>
  <si>
    <r>
      <t xml:space="preserve">Q support chart             </t>
    </r>
    <r>
      <rPr>
        <b/>
        <sz val="9"/>
        <rFont val="Arial"/>
        <family val="2"/>
      </rPr>
      <t xml:space="preserve">      for drill &amp; blast tunnels</t>
    </r>
  </si>
  <si>
    <t>Damp</t>
  </si>
  <si>
    <t>damp</t>
  </si>
  <si>
    <t>Inburst / Heavily flowing, without noticeable decay</t>
  </si>
  <si>
    <t>flowing</t>
  </si>
  <si>
    <t>(Co)</t>
  </si>
  <si>
    <t>(jL)</t>
  </si>
  <si>
    <t>Joint planarity</t>
  </si>
  <si>
    <t>(jw)</t>
  </si>
  <si>
    <t>(Jv)</t>
  </si>
  <si>
    <t>Joint smoothness</t>
  </si>
  <si>
    <t>Jointing pattern</t>
  </si>
  <si>
    <t xml:space="preserve">(Vb) </t>
  </si>
  <si>
    <t xml:space="preserve">A4 = </t>
  </si>
  <si>
    <t>spacing (m)</t>
  </si>
  <si>
    <t xml:space="preserve">A2 = </t>
  </si>
  <si>
    <t>(e)</t>
  </si>
  <si>
    <t>Joint           infilling</t>
  </si>
  <si>
    <t>high squeeze</t>
  </si>
  <si>
    <t>mild squeeze</t>
  </si>
  <si>
    <t xml:space="preserve">    related to tunnel axis</t>
  </si>
  <si>
    <t>(Jn)</t>
  </si>
  <si>
    <t>very favour.</t>
  </si>
  <si>
    <t xml:space="preserve">Q system </t>
  </si>
  <si>
    <t>RMi system</t>
  </si>
  <si>
    <t>Joint separation or aperture (e)</t>
  </si>
  <si>
    <t xml:space="preserve">(UCS)   </t>
  </si>
  <si>
    <t>Dry / above GWL</t>
  </si>
  <si>
    <t>Jn or Nj =</t>
  </si>
  <si>
    <t xml:space="preserve">(js) </t>
  </si>
  <si>
    <t>at surface</t>
  </si>
  <si>
    <t>very good</t>
  </si>
  <si>
    <t>good</t>
  </si>
  <si>
    <t>poor</t>
  </si>
  <si>
    <t>very poor</t>
  </si>
  <si>
    <t>except. good</t>
  </si>
  <si>
    <t>extr. good</t>
  </si>
  <si>
    <t>extr. poor</t>
  </si>
  <si>
    <t>except. poor</t>
  </si>
  <si>
    <t>very high</t>
  </si>
  <si>
    <t>low</t>
  </si>
  <si>
    <t>very low</t>
  </si>
  <si>
    <t>extr. low</t>
  </si>
  <si>
    <t>v. favourable</t>
  </si>
  <si>
    <t>extremely large</t>
  </si>
  <si>
    <t>very large size</t>
  </si>
  <si>
    <t>large size</t>
  </si>
  <si>
    <t>moderate size</t>
  </si>
  <si>
    <t>small size</t>
  </si>
  <si>
    <t>very small size</t>
  </si>
  <si>
    <t>extremely small</t>
  </si>
  <si>
    <r>
      <t>Q</t>
    </r>
    <r>
      <rPr>
        <vertAlign val="subscript"/>
        <sz val="8"/>
        <color indexed="8"/>
        <rFont val="Arial"/>
        <family val="2"/>
      </rPr>
      <t>roof</t>
    </r>
    <r>
      <rPr>
        <b/>
        <sz val="8"/>
        <color indexed="8"/>
        <rFont val="Arial"/>
        <family val="2"/>
      </rPr>
      <t xml:space="preserve"> </t>
    </r>
    <r>
      <rPr>
        <sz val="8"/>
        <color indexed="8"/>
        <rFont val="Arial"/>
        <family val="2"/>
      </rPr>
      <t>=</t>
    </r>
  </si>
  <si>
    <r>
      <t>Gc</t>
    </r>
    <r>
      <rPr>
        <vertAlign val="subscript"/>
        <sz val="8"/>
        <color indexed="8"/>
        <rFont val="Arial"/>
        <family val="2"/>
      </rPr>
      <t>roof</t>
    </r>
    <r>
      <rPr>
        <b/>
        <sz val="8"/>
        <color indexed="8"/>
        <rFont val="Arial"/>
        <family val="2"/>
      </rPr>
      <t xml:space="preserve"> </t>
    </r>
    <r>
      <rPr>
        <sz val="8"/>
        <color indexed="8"/>
        <rFont val="Arial"/>
        <family val="2"/>
      </rPr>
      <t>=</t>
    </r>
  </si>
  <si>
    <t>Some comments on the rock support estimate:</t>
  </si>
  <si>
    <t>(ref. Bieniawski, 1989)</t>
  </si>
  <si>
    <t>in ROOF</t>
  </si>
  <si>
    <t>the right answer for all types of rock masses and ground conditions.</t>
  </si>
  <si>
    <t>Try to understand the geological setting and the actual site conditions</t>
  </si>
  <si>
    <t>Do not forget to apply engineering and geological judgement to evaluate the site conditions and the</t>
  </si>
  <si>
    <t>The RMR support table (for tunnels with 10m span)</t>
  </si>
  <si>
    <t>1. Very good rock</t>
  </si>
  <si>
    <t>Generally no support required,</t>
  </si>
  <si>
    <t>except for occasional spot bolting</t>
  </si>
  <si>
    <t>Spot bolting</t>
  </si>
  <si>
    <t>in crown</t>
  </si>
  <si>
    <t xml:space="preserve"> with occasional wire mesh</t>
  </si>
  <si>
    <t>in crown and walls</t>
  </si>
  <si>
    <t>with wire mesh</t>
  </si>
  <si>
    <t>in sides</t>
  </si>
  <si>
    <t>where required</t>
  </si>
  <si>
    <t>Medium to heavy ribs spaced</t>
  </si>
  <si>
    <t>forepoling if required. Close invert</t>
  </si>
  <si>
    <t>Wall height:</t>
  </si>
  <si>
    <t>Station:</t>
  </si>
  <si>
    <t>Tunnel span:</t>
  </si>
  <si>
    <t>1.0 - 1.5 m advance;</t>
  </si>
  <si>
    <t>3 m long, spaced 2.5 m</t>
  </si>
  <si>
    <t>Systematic bolts 4 m long,</t>
  </si>
  <si>
    <t>spaced 1.5 - 2 m</t>
  </si>
  <si>
    <t>Systematic bolts 4 - 5 m long,</t>
  </si>
  <si>
    <t>spaced 1 - 1.5 m</t>
  </si>
  <si>
    <t>Systematic bolts 5 - 6 m long,</t>
  </si>
  <si>
    <t>Light ribs spaced 1.5 m</t>
  </si>
  <si>
    <t>0.75 m with steel lagging and</t>
  </si>
  <si>
    <t>massive</t>
  </si>
  <si>
    <t>broken</t>
  </si>
  <si>
    <t>jC =</t>
  </si>
  <si>
    <t>Db =</t>
  </si>
  <si>
    <t>JP =</t>
  </si>
  <si>
    <t>Joint size factor</t>
  </si>
  <si>
    <t>Joint condition factor</t>
  </si>
  <si>
    <t>Block shape factor</t>
  </si>
  <si>
    <t>Jointing parameter</t>
  </si>
  <si>
    <t>Massivity factor</t>
  </si>
  <si>
    <t>Rock Mass index</t>
  </si>
  <si>
    <t>Deformation modulus Em =</t>
  </si>
  <si>
    <r>
      <t>Sr</t>
    </r>
    <r>
      <rPr>
        <vertAlign val="subscript"/>
        <sz val="7"/>
        <rFont val="Arial"/>
        <family val="2"/>
      </rPr>
      <t>roof</t>
    </r>
    <r>
      <rPr>
        <sz val="7"/>
        <rFont val="Arial"/>
        <family val="2"/>
      </rPr>
      <t xml:space="preserve"> =</t>
    </r>
  </si>
  <si>
    <r>
      <t>Sr</t>
    </r>
    <r>
      <rPr>
        <vertAlign val="subscript"/>
        <sz val="7"/>
        <rFont val="Arial"/>
        <family val="2"/>
      </rPr>
      <t>wall</t>
    </r>
    <r>
      <rPr>
        <sz val="7"/>
        <rFont val="Arial"/>
        <family val="2"/>
      </rPr>
      <t xml:space="preserve"> =</t>
    </r>
  </si>
  <si>
    <t xml:space="preserve"> in crown</t>
  </si>
  <si>
    <r>
      <t>Q</t>
    </r>
    <r>
      <rPr>
        <vertAlign val="subscript"/>
        <sz val="7"/>
        <rFont val="Arial"/>
        <family val="2"/>
      </rPr>
      <t>wall</t>
    </r>
    <r>
      <rPr>
        <sz val="7"/>
        <rFont val="Arial"/>
        <family val="2"/>
      </rPr>
      <t xml:space="preserve"> =</t>
    </r>
  </si>
  <si>
    <t xml:space="preserve">  Full face:</t>
  </si>
  <si>
    <t xml:space="preserve">  Top heading and bench:</t>
  </si>
  <si>
    <t xml:space="preserve">  Multiple drifts:</t>
  </si>
  <si>
    <t>3 to 5</t>
  </si>
  <si>
    <t>Circular section</t>
  </si>
  <si>
    <t>Temporary mine openings, etc..</t>
  </si>
  <si>
    <t>Rectangular / square section</t>
  </si>
  <si>
    <t>Vertical shafts *)</t>
  </si>
  <si>
    <t>2,5</t>
  </si>
  <si>
    <t>2,0</t>
  </si>
  <si>
    <t>Permanent mine openings, water tunnels for hydro power (exclude high pressure penstocks), water supply tunnels, pilot tunnels, drifts and headings for large openings.</t>
  </si>
  <si>
    <t xml:space="preserve">Minor road and railway tunnels, surge chambers, access tunnels, sewage tunnels, etc. </t>
  </si>
  <si>
    <t>Power houses, storage rooms, water treatment plants, major road and railway tunnels, civil defence chambers, portals, intersections, etc.</t>
  </si>
  <si>
    <t xml:space="preserve">Underground nuclear power stations, railways stations, sports and public facilitates, factories, etc. </t>
  </si>
  <si>
    <t>Very important caverns and underground openings with a long lifetime, ≈ 100 years, or without access for maintenance.</t>
  </si>
  <si>
    <t>*) Dependant of purpose. May be lower than given values, ca. 2.5 ca. 2.0</t>
  </si>
  <si>
    <t>Excavation Support Ratio (ESR)</t>
  </si>
  <si>
    <t>ESR =</t>
  </si>
  <si>
    <t>USE OF THE EXCAVATION</t>
  </si>
  <si>
    <t>B.  Road and railway tunnels</t>
  </si>
  <si>
    <t>A.  Water tunnels</t>
  </si>
  <si>
    <t>C.  Underground hydropower caverns</t>
  </si>
  <si>
    <t>D.  Underground railway stations</t>
  </si>
  <si>
    <t>ESR value</t>
  </si>
  <si>
    <t xml:space="preserve"> - rectangular opening</t>
  </si>
  <si>
    <t xml:space="preserve"> - circular opening</t>
  </si>
  <si>
    <t>heavy burst</t>
  </si>
  <si>
    <t>mild burst</t>
  </si>
  <si>
    <t>span/ESR =</t>
  </si>
  <si>
    <t>Em = Deformation modulus of rock masses</t>
  </si>
  <si>
    <t>Qc = Q-value corrected for rock strength</t>
  </si>
  <si>
    <t>Classification of thickness (width) of zone</t>
  </si>
  <si>
    <t>very small</t>
  </si>
  <si>
    <t>small</t>
  </si>
  <si>
    <t>medium</t>
  </si>
  <si>
    <t>large</t>
  </si>
  <si>
    <t>very large</t>
  </si>
  <si>
    <t>Reference</t>
  </si>
  <si>
    <t>0.1 - 1 m</t>
  </si>
  <si>
    <t>1 - 3 m</t>
  </si>
  <si>
    <t>3 - 10 m</t>
  </si>
  <si>
    <t>10 - 30 m</t>
  </si>
  <si>
    <t>&gt; 30 m</t>
  </si>
  <si>
    <t>NBG (1985)</t>
  </si>
  <si>
    <t>Zone thickness (Tz) =</t>
  </si>
  <si>
    <t>jC</t>
  </si>
  <si>
    <t>≈</t>
  </si>
  <si>
    <r>
      <t>RMi</t>
    </r>
    <r>
      <rPr>
        <vertAlign val="subscript"/>
        <sz val="8"/>
        <rFont val="Arial"/>
        <family val="2"/>
      </rPr>
      <t>z</t>
    </r>
    <r>
      <rPr>
        <sz val="7"/>
        <rFont val="Arial"/>
        <family val="2"/>
      </rPr>
      <t xml:space="preserve"> =</t>
    </r>
  </si>
  <si>
    <r>
      <t>Co</t>
    </r>
    <r>
      <rPr>
        <vertAlign val="subscript"/>
        <sz val="7"/>
        <rFont val="Arial"/>
        <family val="2"/>
      </rPr>
      <t>z</t>
    </r>
    <r>
      <rPr>
        <sz val="7"/>
        <rFont val="Arial"/>
        <family val="2"/>
      </rPr>
      <t xml:space="preserve"> =</t>
    </r>
  </si>
  <si>
    <r>
      <t>Vb (dm</t>
    </r>
    <r>
      <rPr>
        <vertAlign val="superscript"/>
        <sz val="8"/>
        <color theme="0" tint="-0.34998626667073579"/>
        <rFont val="Calibri"/>
        <family val="2"/>
        <scheme val="minor"/>
      </rPr>
      <t>3</t>
    </r>
    <r>
      <rPr>
        <sz val="8"/>
        <color theme="0" tint="-0.34998626667073579"/>
        <rFont val="Calibri"/>
        <family val="2"/>
        <scheme val="minor"/>
      </rPr>
      <t>)</t>
    </r>
  </si>
  <si>
    <t xml:space="preserve">  Q system</t>
  </si>
  <si>
    <r>
      <t>Sr</t>
    </r>
    <r>
      <rPr>
        <vertAlign val="subscript"/>
        <sz val="8"/>
        <rFont val="Arial"/>
        <family val="2"/>
      </rPr>
      <t xml:space="preserve">roof </t>
    </r>
    <r>
      <rPr>
        <b/>
        <sz val="8"/>
        <rFont val="Arial"/>
        <family val="2"/>
      </rPr>
      <t>=</t>
    </r>
  </si>
  <si>
    <t xml:space="preserve"> Some definitions:</t>
  </si>
  <si>
    <t>Sr = Size ratio in RMi system = Dt/Db x Co/Nj</t>
  </si>
  <si>
    <t>D 55/6 + 4 Ø20</t>
  </si>
  <si>
    <t>RRS I:</t>
  </si>
  <si>
    <t>RRS II:</t>
  </si>
  <si>
    <t>RRS III:</t>
  </si>
  <si>
    <r>
      <t>Table: Typical values the input parameters in crushed zones (faults) determining the rock mass index (RMi</t>
    </r>
    <r>
      <rPr>
        <i/>
        <vertAlign val="subscript"/>
        <sz val="9"/>
        <color theme="1"/>
        <rFont val="Arial"/>
        <family val="2"/>
      </rPr>
      <t>z</t>
    </r>
    <r>
      <rPr>
        <i/>
        <sz val="9"/>
        <color theme="1"/>
        <rFont val="Arial"/>
        <family val="2"/>
      </rPr>
      <t>) for zones</t>
    </r>
  </si>
  <si>
    <t xml:space="preserve">(mod. joint = 3 - 10 m) </t>
  </si>
  <si>
    <t xml:space="preserve">(short joint = 1 - 3 m) </t>
  </si>
  <si>
    <t>&lt; 0.1 mm</t>
  </si>
  <si>
    <t>0.1 - 1 mm</t>
  </si>
  <si>
    <t>1 - 5 mm</t>
  </si>
  <si>
    <t>5 - 25 mm</t>
  </si>
  <si>
    <t>related to tunnel axis</t>
  </si>
  <si>
    <t>D =</t>
  </si>
  <si>
    <t>Ø16 =</t>
  </si>
  <si>
    <t>water inburst</t>
  </si>
  <si>
    <t>←</t>
  </si>
  <si>
    <t>v. unfavour.</t>
  </si>
  <si>
    <r>
      <t xml:space="preserve">Note: Values in </t>
    </r>
    <r>
      <rPr>
        <b/>
        <sz val="7"/>
        <color rgb="FF3333FF"/>
        <rFont val="Arial"/>
        <family val="2"/>
      </rPr>
      <t>green</t>
    </r>
    <r>
      <rPr>
        <sz val="7"/>
        <color rgb="FF3333FF"/>
        <rFont val="Arial"/>
        <family val="2"/>
      </rPr>
      <t xml:space="preserve"> cells can be adjusted</t>
    </r>
  </si>
  <si>
    <t>Double layer of rebars</t>
  </si>
  <si>
    <t>c/c =</t>
  </si>
  <si>
    <t>Rebar diameter 16 mm</t>
  </si>
  <si>
    <t>Spacing between ribs</t>
  </si>
  <si>
    <t>v. short joint</t>
  </si>
  <si>
    <t>support charts and the values for the Ground quality vs. The size of the tunnel (span or wall height) .</t>
  </si>
  <si>
    <t>when selecting the input parameter ratings.</t>
  </si>
  <si>
    <t>(Reinforced Ribs of Shotcrete)</t>
  </si>
  <si>
    <t>Estimated Jn, based on Vb, when input for C2 (joint sets) is not given</t>
  </si>
  <si>
    <t>extr. unfavour.</t>
  </si>
  <si>
    <t>a. Temporary mine openings</t>
  </si>
  <si>
    <t>b. Vertical shafts</t>
  </si>
  <si>
    <t>c. Water tunnels, pilot tunnels, drifts</t>
  </si>
  <si>
    <t>d. Minor road tunnels, access tunnels</t>
  </si>
  <si>
    <t>e. Powerhouses, road and railway tunnels</t>
  </si>
  <si>
    <t>f. Railway stations, sports and public facilities</t>
  </si>
  <si>
    <t xml:space="preserve">g. Important caverns without later access </t>
  </si>
  <si>
    <t>Revised diagram regarding the support of RRS used in the rock support estimates</t>
  </si>
  <si>
    <r>
      <t>WEAKNESS (FAULT) ZONES</t>
    </r>
    <r>
      <rPr>
        <b/>
        <vertAlign val="superscript"/>
        <sz val="9"/>
        <rFont val="Arial"/>
        <family val="2"/>
      </rPr>
      <t xml:space="preserve"> *)</t>
    </r>
  </si>
  <si>
    <t>&lt;  1 MPa</t>
  </si>
  <si>
    <t>5 - 25 MPa</t>
  </si>
  <si>
    <t>25 - 50 MPa</t>
  </si>
  <si>
    <t>50 - 75 MPa</t>
  </si>
  <si>
    <t>75 -100 MPa</t>
  </si>
  <si>
    <t>100 -150 MPa</t>
  </si>
  <si>
    <t>150-250 MPa</t>
  </si>
  <si>
    <t>&gt; 250 MPa</t>
  </si>
  <si>
    <t xml:space="preserve"> Rock strength </t>
  </si>
  <si>
    <r>
      <t xml:space="preserve">RMR </t>
    </r>
    <r>
      <rPr>
        <sz val="8"/>
        <color indexed="8"/>
        <rFont val="Arial"/>
        <family val="2"/>
      </rPr>
      <t>=</t>
    </r>
  </si>
  <si>
    <r>
      <t xml:space="preserve">TYPE of                         ROCK SUPPORT            </t>
    </r>
    <r>
      <rPr>
        <b/>
        <sz val="9"/>
        <rFont val="Calibri"/>
        <family val="2"/>
      </rPr>
      <t>↓</t>
    </r>
  </si>
  <si>
    <t xml:space="preserve"> 5 - 3</t>
  </si>
  <si>
    <r>
      <t xml:space="preserve"> </t>
    </r>
    <r>
      <rPr>
        <sz val="6"/>
        <rFont val="Arial"/>
        <family val="2"/>
      </rPr>
      <t>(ESR = Excavation Support Ratio)</t>
    </r>
  </si>
  <si>
    <t>Support  in WALLS</t>
  </si>
  <si>
    <t>Support in WALLS</t>
  </si>
  <si>
    <t>wall height/ESR =</t>
  </si>
  <si>
    <r>
      <t>strike (</t>
    </r>
    <r>
      <rPr>
        <vertAlign val="superscript"/>
        <sz val="6"/>
        <color rgb="FF000000"/>
        <rFont val="Arial"/>
        <family val="2"/>
      </rPr>
      <t xml:space="preserve"> o </t>
    </r>
    <r>
      <rPr>
        <sz val="6"/>
        <color indexed="8"/>
        <rFont val="Arial"/>
        <family val="2"/>
      </rPr>
      <t>)</t>
    </r>
  </si>
  <si>
    <t>2 sets + random</t>
  </si>
  <si>
    <t>(RQD)</t>
  </si>
  <si>
    <t>Joint roughness</t>
  </si>
  <si>
    <t>variation</t>
  </si>
  <si>
    <t>is used</t>
  </si>
  <si>
    <t>Excavation type:</t>
  </si>
  <si>
    <r>
      <t>Sr</t>
    </r>
    <r>
      <rPr>
        <vertAlign val="subscript"/>
        <sz val="8"/>
        <rFont val="Arial"/>
        <family val="2"/>
      </rPr>
      <t>wall</t>
    </r>
    <r>
      <rPr>
        <sz val="8"/>
        <rFont val="Arial"/>
        <family val="2"/>
      </rPr>
      <t xml:space="preserve"> =</t>
    </r>
  </si>
  <si>
    <r>
      <t xml:space="preserve">Zone size  </t>
    </r>
    <r>
      <rPr>
        <b/>
        <sz val="7"/>
        <rFont val="Calibri"/>
        <family val="2"/>
      </rPr>
      <t>→</t>
    </r>
  </si>
  <si>
    <t>used</t>
  </si>
  <si>
    <t>Typical value</t>
  </si>
  <si>
    <t>jointed rock</t>
  </si>
  <si>
    <t>SL = Stress level</t>
  </si>
  <si>
    <t>GW = Groundwater conditions (or leakage into tunnel)</t>
  </si>
  <si>
    <t>Dt = Tunnel diameter (or span)</t>
  </si>
  <si>
    <t>Db = Block diameter</t>
  </si>
  <si>
    <t>Co = Orientation of joint set</t>
  </si>
  <si>
    <t>Coz = Orientation of weakness zone</t>
  </si>
  <si>
    <t>→</t>
  </si>
  <si>
    <t xml:space="preserve">roof </t>
  </si>
  <si>
    <t xml:space="preserve">wall </t>
  </si>
  <si>
    <t>values of the input parameters, as well as the behaviour of the ground in the underground opening</t>
  </si>
  <si>
    <r>
      <t xml:space="preserve">B. </t>
    </r>
    <r>
      <rPr>
        <b/>
        <sz val="7"/>
        <rFont val="Arial"/>
        <family val="2"/>
      </rPr>
      <t>Filled joint</t>
    </r>
  </si>
  <si>
    <r>
      <t>Em</t>
    </r>
    <r>
      <rPr>
        <vertAlign val="subscript"/>
        <sz val="7"/>
        <rFont val="Arial"/>
        <family val="2"/>
      </rPr>
      <t xml:space="preserve"> (max)</t>
    </r>
    <r>
      <rPr>
        <sz val="7"/>
        <rFont val="Arial"/>
        <family val="2"/>
      </rPr>
      <t xml:space="preserve"> =</t>
    </r>
  </si>
  <si>
    <t>Rockmass continuity factor</t>
  </si>
  <si>
    <t>25 - 50</t>
  </si>
  <si>
    <t>50 - 75</t>
  </si>
  <si>
    <t>Joint roughness factor                                   (Jr = js x jw)</t>
  </si>
  <si>
    <r>
      <rPr>
        <sz val="7"/>
        <color rgb="FF000000"/>
        <rFont val="Arial"/>
        <family val="2"/>
      </rPr>
      <t>Co</t>
    </r>
    <r>
      <rPr>
        <sz val="8"/>
        <color indexed="8"/>
        <rFont val="Arial"/>
        <family val="2"/>
      </rPr>
      <t xml:space="preserve"> </t>
    </r>
    <r>
      <rPr>
        <sz val="5"/>
        <color rgb="FF000000"/>
        <rFont val="Arial"/>
        <family val="2"/>
      </rPr>
      <t>roof</t>
    </r>
    <r>
      <rPr>
        <sz val="8"/>
        <color indexed="8"/>
        <rFont val="Arial"/>
        <family val="2"/>
      </rPr>
      <t xml:space="preserve"> </t>
    </r>
    <r>
      <rPr>
        <sz val="7"/>
        <color rgb="FF000000"/>
        <rFont val="Arial"/>
        <family val="2"/>
      </rPr>
      <t>=</t>
    </r>
  </si>
  <si>
    <r>
      <t xml:space="preserve">Co </t>
    </r>
    <r>
      <rPr>
        <sz val="5"/>
        <color rgb="FF000000"/>
        <rFont val="Arial"/>
        <family val="2"/>
      </rPr>
      <t>wall</t>
    </r>
    <r>
      <rPr>
        <sz val="7"/>
        <color rgb="FF000000"/>
        <rFont val="Arial"/>
        <family val="2"/>
      </rPr>
      <t xml:space="preserve"> =</t>
    </r>
  </si>
  <si>
    <r>
      <t xml:space="preserve">Ja </t>
    </r>
    <r>
      <rPr>
        <sz val="5"/>
        <color rgb="FF000000"/>
        <rFont val="Arial"/>
        <family val="2"/>
      </rPr>
      <t>or</t>
    </r>
    <r>
      <rPr>
        <sz val="7"/>
        <color indexed="8"/>
        <rFont val="Arial"/>
        <family val="2"/>
      </rPr>
      <t xml:space="preserve"> jA =</t>
    </r>
  </si>
  <si>
    <r>
      <t>Co</t>
    </r>
    <r>
      <rPr>
        <vertAlign val="subscript"/>
        <sz val="7"/>
        <color indexed="8"/>
        <rFont val="Arial"/>
        <family val="2"/>
      </rPr>
      <t>z</t>
    </r>
    <r>
      <rPr>
        <sz val="7"/>
        <color indexed="8"/>
        <rFont val="Arial"/>
        <family val="2"/>
      </rPr>
      <t xml:space="preserve"> </t>
    </r>
    <r>
      <rPr>
        <sz val="5"/>
        <color rgb="FF000000"/>
        <rFont val="Arial"/>
        <family val="2"/>
      </rPr>
      <t>roof</t>
    </r>
    <r>
      <rPr>
        <sz val="7"/>
        <color indexed="8"/>
        <rFont val="Arial"/>
        <family val="2"/>
      </rPr>
      <t xml:space="preserve"> =</t>
    </r>
  </si>
  <si>
    <r>
      <t>Co</t>
    </r>
    <r>
      <rPr>
        <vertAlign val="subscript"/>
        <sz val="7"/>
        <color indexed="8"/>
        <rFont val="Arial"/>
        <family val="2"/>
      </rPr>
      <t>z</t>
    </r>
    <r>
      <rPr>
        <sz val="7"/>
        <color indexed="8"/>
        <rFont val="Arial"/>
        <family val="2"/>
      </rPr>
      <t xml:space="preserve"> </t>
    </r>
    <r>
      <rPr>
        <sz val="5"/>
        <color rgb="FF000000"/>
        <rFont val="Arial"/>
        <family val="2"/>
      </rPr>
      <t>wall</t>
    </r>
    <r>
      <rPr>
        <sz val="7"/>
        <color indexed="8"/>
        <rFont val="Arial"/>
        <family val="2"/>
      </rPr>
      <t xml:space="preserve"> =</t>
    </r>
  </si>
  <si>
    <t>dry/above GWL</t>
  </si>
  <si>
    <r>
      <t xml:space="preserve">A. </t>
    </r>
    <r>
      <rPr>
        <b/>
        <sz val="7"/>
        <rFont val="Arial"/>
        <family val="2"/>
      </rPr>
      <t>Clean joint</t>
    </r>
  </si>
  <si>
    <r>
      <t>Type of joint</t>
    </r>
    <r>
      <rPr>
        <sz val="7"/>
        <rFont val="Arial"/>
        <family val="2"/>
      </rPr>
      <t xml:space="preserve">                                         </t>
    </r>
    <r>
      <rPr>
        <sz val="6"/>
        <rFont val="Arial"/>
        <family val="2"/>
      </rPr>
      <t xml:space="preserve"> (joint length)</t>
    </r>
  </si>
  <si>
    <r>
      <t xml:space="preserve">Joint aperture </t>
    </r>
    <r>
      <rPr>
        <sz val="6"/>
        <rFont val="Arial"/>
        <family val="2"/>
      </rPr>
      <t>(separation)</t>
    </r>
  </si>
  <si>
    <t>(DJ)</t>
  </si>
  <si>
    <t>strongly jointed</t>
  </si>
  <si>
    <r>
      <t xml:space="preserve">   (joints/m</t>
    </r>
    <r>
      <rPr>
        <vertAlign val="superscript"/>
        <sz val="6"/>
        <rFont val="Calibri"/>
        <family val="2"/>
        <scheme val="minor"/>
      </rPr>
      <t>3</t>
    </r>
    <r>
      <rPr>
        <sz val="6"/>
        <rFont val="Calibri"/>
        <family val="2"/>
        <scheme val="minor"/>
      </rPr>
      <t xml:space="preserve">)  </t>
    </r>
  </si>
  <si>
    <t>DJ =</t>
  </si>
  <si>
    <t xml:space="preserve">  - Rock Quality Designation</t>
  </si>
  <si>
    <t xml:space="preserve">  - Block size (volume)</t>
  </si>
  <si>
    <t xml:space="preserve">  - Volumetric joint count</t>
  </si>
  <si>
    <t>mod. stress</t>
  </si>
  <si>
    <t xml:space="preserve"> B =</t>
  </si>
  <si>
    <r>
      <rPr>
        <i/>
        <sz val="7"/>
        <rFont val="Arial"/>
        <family val="2"/>
      </rPr>
      <t xml:space="preserve">Cg = competency of ground;  </t>
    </r>
    <r>
      <rPr>
        <i/>
        <sz val="7"/>
        <rFont val="Symbol"/>
        <family val="1"/>
        <charset val="2"/>
      </rPr>
      <t xml:space="preserve"> s</t>
    </r>
    <r>
      <rPr>
        <i/>
        <vertAlign val="subscript"/>
        <sz val="7"/>
        <rFont val="Symbol"/>
        <family val="1"/>
        <charset val="2"/>
      </rPr>
      <t>q</t>
    </r>
    <r>
      <rPr>
        <i/>
        <vertAlign val="subscript"/>
        <sz val="7"/>
        <rFont val="Arial"/>
        <family val="2"/>
      </rPr>
      <t xml:space="preserve"> </t>
    </r>
    <r>
      <rPr>
        <i/>
        <sz val="7"/>
        <rFont val="Arial"/>
        <family val="2"/>
      </rPr>
      <t xml:space="preserve"> = tangential stresses around the opening; </t>
    </r>
    <r>
      <rPr>
        <i/>
        <sz val="7"/>
        <rFont val="Symbol"/>
        <family val="1"/>
        <charset val="2"/>
      </rPr>
      <t>s</t>
    </r>
    <r>
      <rPr>
        <i/>
        <vertAlign val="subscript"/>
        <sz val="7"/>
        <rFont val="Arial"/>
        <family val="2"/>
      </rPr>
      <t>cm</t>
    </r>
    <r>
      <rPr>
        <i/>
        <sz val="7"/>
        <rFont val="Arial"/>
        <family val="2"/>
      </rPr>
      <t xml:space="preserve"> ≈ RMi = compressive strength of rock mass</t>
    </r>
  </si>
  <si>
    <t>Zone width  (thickness)</t>
  </si>
  <si>
    <t>of zone</t>
  </si>
  <si>
    <r>
      <t>Gc</t>
    </r>
    <r>
      <rPr>
        <vertAlign val="subscript"/>
        <sz val="7"/>
        <rFont val="Arial"/>
        <family val="2"/>
      </rPr>
      <t>wall</t>
    </r>
    <r>
      <rPr>
        <sz val="7"/>
        <rFont val="Arial"/>
        <family val="2"/>
      </rPr>
      <t xml:space="preserve"> =</t>
    </r>
  </si>
  <si>
    <t>from input</t>
  </si>
  <si>
    <t>Joint condition in zone</t>
  </si>
  <si>
    <t>Fragment size in zone</t>
  </si>
  <si>
    <t>Fragment diameter in zone</t>
  </si>
  <si>
    <t>If no value of weakness zone thickness is given:</t>
  </si>
  <si>
    <t>dm             =</t>
  </si>
  <si>
    <r>
      <t xml:space="preserve">(Jw </t>
    </r>
    <r>
      <rPr>
        <sz val="5"/>
        <color rgb="FF000000"/>
        <rFont val="Arial"/>
        <family val="2"/>
      </rPr>
      <t>or</t>
    </r>
    <r>
      <rPr>
        <sz val="7"/>
        <color indexed="8"/>
        <rFont val="Arial"/>
        <family val="2"/>
      </rPr>
      <t xml:space="preserve"> GW)</t>
    </r>
  </si>
  <si>
    <r>
      <t xml:space="preserve">Jw </t>
    </r>
    <r>
      <rPr>
        <sz val="5"/>
        <rFont val="Arial"/>
        <family val="2"/>
      </rPr>
      <t>or</t>
    </r>
    <r>
      <rPr>
        <sz val="7"/>
        <rFont val="Arial"/>
        <family val="2"/>
      </rPr>
      <t xml:space="preserve"> GW =</t>
    </r>
  </si>
  <si>
    <r>
      <t xml:space="preserve">Jv </t>
    </r>
    <r>
      <rPr>
        <sz val="6"/>
        <color rgb="FF000000"/>
        <rFont val="Arial"/>
        <family val="2"/>
      </rPr>
      <t>(joints/m</t>
    </r>
    <r>
      <rPr>
        <vertAlign val="superscript"/>
        <sz val="6"/>
        <color rgb="FF000000"/>
        <rFont val="Arial"/>
        <family val="2"/>
      </rPr>
      <t>3</t>
    </r>
    <r>
      <rPr>
        <sz val="6"/>
        <color rgb="FF000000"/>
        <rFont val="Arial"/>
        <family val="2"/>
      </rPr>
      <t>)</t>
    </r>
    <r>
      <rPr>
        <sz val="5"/>
        <color rgb="FF000000"/>
        <rFont val="Arial"/>
        <family val="2"/>
      </rPr>
      <t xml:space="preserve"> </t>
    </r>
    <r>
      <rPr>
        <sz val="6"/>
        <color indexed="8"/>
        <rFont val="Arial"/>
        <family val="2"/>
      </rPr>
      <t>=</t>
    </r>
  </si>
  <si>
    <r>
      <t xml:space="preserve">Vb </t>
    </r>
    <r>
      <rPr>
        <sz val="6"/>
        <color rgb="FF000000"/>
        <rFont val="Arial"/>
        <family val="2"/>
      </rPr>
      <t>(in dm</t>
    </r>
    <r>
      <rPr>
        <vertAlign val="superscript"/>
        <sz val="6"/>
        <color rgb="FF000000"/>
        <rFont val="Arial"/>
        <family val="2"/>
      </rPr>
      <t>3</t>
    </r>
    <r>
      <rPr>
        <sz val="6"/>
        <color rgb="FF000000"/>
        <rFont val="Arial"/>
        <family val="2"/>
      </rPr>
      <t>)</t>
    </r>
    <r>
      <rPr>
        <sz val="6"/>
        <color indexed="8"/>
        <rFont val="Arial"/>
        <family val="2"/>
      </rPr>
      <t xml:space="preserve"> =</t>
    </r>
  </si>
  <si>
    <t>Block diameter (m)</t>
  </si>
  <si>
    <r>
      <t>UCS</t>
    </r>
    <r>
      <rPr>
        <sz val="5"/>
        <color rgb="FF000000"/>
        <rFont val="Arial"/>
        <family val="2"/>
      </rPr>
      <t xml:space="preserve"> (in MPa) </t>
    </r>
    <r>
      <rPr>
        <sz val="7"/>
        <color rgb="FF000000"/>
        <rFont val="Arial"/>
        <family val="2"/>
      </rPr>
      <t>=</t>
    </r>
  </si>
  <si>
    <r>
      <rPr>
        <sz val="7"/>
        <color rgb="FF000000"/>
        <rFont val="Arial"/>
        <family val="2"/>
      </rPr>
      <t xml:space="preserve">SL </t>
    </r>
    <r>
      <rPr>
        <sz val="5"/>
        <color rgb="FF000000"/>
        <rFont val="Arial"/>
        <family val="2"/>
      </rPr>
      <t xml:space="preserve">or </t>
    </r>
    <r>
      <rPr>
        <sz val="7"/>
        <color rgb="FF000000"/>
        <rFont val="Arial"/>
        <family val="2"/>
      </rPr>
      <t>SRF</t>
    </r>
    <r>
      <rPr>
        <vertAlign val="subscript"/>
        <sz val="7"/>
        <color rgb="FF000000"/>
        <rFont val="Arial"/>
        <family val="2"/>
      </rPr>
      <t>s</t>
    </r>
    <r>
      <rPr>
        <sz val="7"/>
        <color rgb="FF000000"/>
        <rFont val="Arial"/>
        <family val="2"/>
      </rPr>
      <t xml:space="preserve"> =</t>
    </r>
  </si>
  <si>
    <t>WEAKNESS ZONE</t>
  </si>
  <si>
    <t>Deformation modulus of rockmass</t>
  </si>
  <si>
    <r>
      <t>(SRF</t>
    </r>
    <r>
      <rPr>
        <vertAlign val="subscript"/>
        <sz val="7"/>
        <rFont val="Arial"/>
        <family val="2"/>
      </rPr>
      <t>s</t>
    </r>
    <r>
      <rPr>
        <sz val="7"/>
        <rFont val="Arial"/>
        <family val="2"/>
      </rPr>
      <t xml:space="preserve"> )</t>
    </r>
  </si>
  <si>
    <t>weakness zone</t>
  </si>
  <si>
    <t>weak zone</t>
  </si>
  <si>
    <r>
      <t xml:space="preserve">Tz </t>
    </r>
    <r>
      <rPr>
        <sz val="5"/>
        <color rgb="FF000000"/>
        <rFont val="Arial"/>
        <family val="2"/>
      </rPr>
      <t>(in m)</t>
    </r>
    <r>
      <rPr>
        <sz val="7"/>
        <color indexed="8"/>
        <rFont val="Arial"/>
        <family val="2"/>
      </rPr>
      <t xml:space="preserve"> =</t>
    </r>
  </si>
  <si>
    <t>Crushed zone, clay-free</t>
  </si>
  <si>
    <t>Zone filled with soft material</t>
  </si>
  <si>
    <t>Strength of zone fragments</t>
  </si>
  <si>
    <t>MPa</t>
  </si>
  <si>
    <t xml:space="preserve"> Em =</t>
  </si>
  <si>
    <t>Spacing</t>
  </si>
  <si>
    <r>
      <t xml:space="preserve">RQD </t>
    </r>
    <r>
      <rPr>
        <sz val="5"/>
        <color rgb="FF000000"/>
        <rFont val="Arial"/>
        <family val="2"/>
      </rPr>
      <t>(value)</t>
    </r>
    <r>
      <rPr>
        <sz val="6"/>
        <color indexed="8"/>
        <rFont val="Arial"/>
        <family val="2"/>
      </rPr>
      <t xml:space="preserve"> =</t>
    </r>
  </si>
  <si>
    <r>
      <t xml:space="preserve">&gt; 5 mm </t>
    </r>
    <r>
      <rPr>
        <sz val="7"/>
        <rFont val="Calibri"/>
        <family val="2"/>
        <scheme val="minor"/>
      </rPr>
      <t>→</t>
    </r>
  </si>
  <si>
    <r>
      <t xml:space="preserve">&lt; 5 mm </t>
    </r>
    <r>
      <rPr>
        <sz val="7"/>
        <rFont val="Calibri"/>
        <family val="2"/>
        <scheme val="minor"/>
      </rPr>
      <t>→</t>
    </r>
  </si>
  <si>
    <t>Rock Mass index of weak zone</t>
  </si>
  <si>
    <t xml:space="preserve">only of zone </t>
  </si>
  <si>
    <t xml:space="preserve">Joint separation </t>
  </si>
  <si>
    <t>Structure           type =</t>
  </si>
  <si>
    <t>Input</t>
  </si>
  <si>
    <t>Answer</t>
  </si>
  <si>
    <t>RQD from Jv:</t>
  </si>
  <si>
    <r>
      <t>Block shape  (</t>
    </r>
    <r>
      <rPr>
        <b/>
        <sz val="8"/>
        <rFont val="Symbol"/>
        <family val="1"/>
        <charset val="2"/>
      </rPr>
      <t>b</t>
    </r>
    <r>
      <rPr>
        <b/>
        <sz val="8"/>
        <rFont val="Arial"/>
        <family val="2"/>
      </rPr>
      <t>)</t>
    </r>
  </si>
  <si>
    <t>click here</t>
  </si>
  <si>
    <t>Wall height=</t>
  </si>
  <si>
    <t>span/ ESR =</t>
  </si>
  <si>
    <r>
      <rPr>
        <b/>
        <sz val="8"/>
        <color rgb="FF000000"/>
        <rFont val="Arial"/>
        <family val="2"/>
      </rPr>
      <t>EXCAVATION</t>
    </r>
    <r>
      <rPr>
        <sz val="8"/>
        <color indexed="8"/>
        <rFont val="Arial"/>
        <family val="2"/>
      </rPr>
      <t xml:space="preserve">   (drill &amp; blast)</t>
    </r>
  </si>
  <si>
    <t xml:space="preserve"> RQD = 110-2.5Jv</t>
  </si>
  <si>
    <t xml:space="preserve"> Jv = 44-RQD/2.5</t>
  </si>
  <si>
    <t>C A L C U L A T E D   R E S U L T S</t>
  </si>
  <si>
    <r>
      <t>1 - 3 dm</t>
    </r>
    <r>
      <rPr>
        <vertAlign val="superscript"/>
        <sz val="6"/>
        <rFont val="Calibri"/>
        <family val="2"/>
        <scheme val="minor"/>
      </rPr>
      <t>3</t>
    </r>
  </si>
  <si>
    <t xml:space="preserve">in ROOF  </t>
  </si>
  <si>
    <t>50 mm thick, where required</t>
  </si>
  <si>
    <t>50 - 100 mm thick</t>
  </si>
  <si>
    <t>30 mm thick</t>
  </si>
  <si>
    <t>100 - 150 mm thick</t>
  </si>
  <si>
    <t>100 mm thick</t>
  </si>
  <si>
    <t>150 - 200 mm thick</t>
  </si>
  <si>
    <t>150 mm thick</t>
  </si>
  <si>
    <r>
      <rPr>
        <b/>
        <sz val="9"/>
        <rFont val="Calibri"/>
        <family val="2"/>
        <scheme val="minor"/>
      </rPr>
      <t xml:space="preserve">Shotcrete → </t>
    </r>
    <r>
      <rPr>
        <b/>
        <sz val="8"/>
        <rFont val="Calibri"/>
        <family val="2"/>
        <scheme val="minor"/>
      </rPr>
      <t xml:space="preserve">             </t>
    </r>
  </si>
  <si>
    <t xml:space="preserve"> 1.5 - 3 m advance in top heading.</t>
  </si>
  <si>
    <t xml:space="preserve"> Commence support after each blast</t>
  </si>
  <si>
    <t xml:space="preserve"> Complete support 10 m from face</t>
  </si>
  <si>
    <t xml:space="preserve"> 1.0 - 1.5 m advance in top heading</t>
  </si>
  <si>
    <t xml:space="preserve"> Install support concurrently </t>
  </si>
  <si>
    <t xml:space="preserve"> with excavation - 10 m from face</t>
  </si>
  <si>
    <t xml:space="preserve"> 0.5 - 1.5 m advance in top heading;</t>
  </si>
  <si>
    <t xml:space="preserve"> with excavation; shotcrete as</t>
  </si>
  <si>
    <t xml:space="preserve"> soon as possible after blasting</t>
  </si>
  <si>
    <t>Si 30/6 Ø16 - 20</t>
  </si>
  <si>
    <t>D 45/6 + 2 Ø16 - 20</t>
  </si>
  <si>
    <t xml:space="preserve"> 3 m advance</t>
  </si>
  <si>
    <t>discontinuous</t>
  </si>
  <si>
    <r>
      <rPr>
        <sz val="7"/>
        <color rgb="FF0000CC"/>
        <rFont val="Arial"/>
        <family val="2"/>
      </rPr>
      <t>Vb</t>
    </r>
    <r>
      <rPr>
        <sz val="7"/>
        <color indexed="8"/>
        <rFont val="Arial"/>
        <family val="2"/>
      </rPr>
      <t xml:space="preserve"> (</t>
    </r>
    <r>
      <rPr>
        <sz val="5"/>
        <color rgb="FF000000"/>
        <rFont val="Arial"/>
        <family val="2"/>
      </rPr>
      <t>from</t>
    </r>
    <r>
      <rPr>
        <sz val="7"/>
        <color indexed="8"/>
        <rFont val="Arial"/>
        <family val="2"/>
      </rPr>
      <t xml:space="preserve"> </t>
    </r>
    <r>
      <rPr>
        <sz val="6"/>
        <color rgb="FF000000"/>
        <rFont val="Arial"/>
        <family val="2"/>
      </rPr>
      <t>RQD</t>
    </r>
    <r>
      <rPr>
        <sz val="7"/>
        <color indexed="8"/>
        <rFont val="Arial"/>
        <family val="2"/>
      </rPr>
      <t>) =</t>
    </r>
  </si>
  <si>
    <r>
      <t>RQD (</t>
    </r>
    <r>
      <rPr>
        <sz val="5"/>
        <color rgb="FF000000"/>
        <rFont val="Arial"/>
        <family val="2"/>
      </rPr>
      <t>from</t>
    </r>
    <r>
      <rPr>
        <sz val="7"/>
        <color rgb="FFFF0000"/>
        <rFont val="Arial"/>
        <family val="2"/>
      </rPr>
      <t xml:space="preserve"> </t>
    </r>
    <r>
      <rPr>
        <sz val="6"/>
        <color rgb="FFFF0000"/>
        <rFont val="Arial"/>
        <family val="2"/>
      </rPr>
      <t>Jv</t>
    </r>
    <r>
      <rPr>
        <sz val="7"/>
        <color indexed="8"/>
        <rFont val="Arial"/>
        <family val="2"/>
      </rPr>
      <t>) =</t>
    </r>
  </si>
  <si>
    <r>
      <t>RQD (</t>
    </r>
    <r>
      <rPr>
        <sz val="5"/>
        <color rgb="FF000000"/>
        <rFont val="Arial"/>
        <family val="2"/>
      </rPr>
      <t>from</t>
    </r>
    <r>
      <rPr>
        <sz val="7"/>
        <color rgb="FF0000CC"/>
        <rFont val="Arial"/>
        <family val="2"/>
      </rPr>
      <t xml:space="preserve"> </t>
    </r>
    <r>
      <rPr>
        <sz val="6"/>
        <color rgb="FF0000CC"/>
        <rFont val="Arial"/>
        <family val="2"/>
      </rPr>
      <t>Vb</t>
    </r>
    <r>
      <rPr>
        <sz val="7"/>
        <color indexed="8"/>
        <rFont val="Arial"/>
        <family val="2"/>
      </rPr>
      <t>) =</t>
    </r>
  </si>
  <si>
    <r>
      <rPr>
        <sz val="7"/>
        <color rgb="FF0000CC"/>
        <rFont val="Arial"/>
        <family val="2"/>
      </rPr>
      <t>Vb</t>
    </r>
    <r>
      <rPr>
        <sz val="7"/>
        <color indexed="8"/>
        <rFont val="Arial"/>
        <family val="2"/>
      </rPr>
      <t xml:space="preserve"> (</t>
    </r>
    <r>
      <rPr>
        <sz val="5"/>
        <color rgb="FF000000"/>
        <rFont val="Arial"/>
        <family val="2"/>
      </rPr>
      <t>from</t>
    </r>
    <r>
      <rPr>
        <sz val="7"/>
        <color rgb="FFFF0000"/>
        <rFont val="Arial"/>
        <family val="2"/>
      </rPr>
      <t xml:space="preserve"> </t>
    </r>
    <r>
      <rPr>
        <sz val="6"/>
        <color rgb="FFFF0000"/>
        <rFont val="Arial"/>
        <family val="2"/>
      </rPr>
      <t>Jv</t>
    </r>
    <r>
      <rPr>
        <sz val="7"/>
        <color indexed="8"/>
        <rFont val="Arial"/>
        <family val="2"/>
      </rPr>
      <t>) =</t>
    </r>
  </si>
  <si>
    <r>
      <rPr>
        <sz val="7"/>
        <color rgb="FFFF0000"/>
        <rFont val="Arial"/>
        <family val="2"/>
      </rPr>
      <t>Jv</t>
    </r>
    <r>
      <rPr>
        <sz val="7"/>
        <color indexed="8"/>
        <rFont val="Arial"/>
        <family val="2"/>
      </rPr>
      <t xml:space="preserve"> (</t>
    </r>
    <r>
      <rPr>
        <sz val="5"/>
        <color rgb="FF000000"/>
        <rFont val="Arial"/>
        <family val="2"/>
      </rPr>
      <t>from</t>
    </r>
    <r>
      <rPr>
        <sz val="7"/>
        <color indexed="8"/>
        <rFont val="Arial"/>
        <family val="2"/>
      </rPr>
      <t xml:space="preserve"> </t>
    </r>
    <r>
      <rPr>
        <sz val="6"/>
        <color rgb="FF0000CC"/>
        <rFont val="Arial"/>
        <family val="2"/>
      </rPr>
      <t>Vb</t>
    </r>
    <r>
      <rPr>
        <sz val="7"/>
        <color indexed="8"/>
        <rFont val="Arial"/>
        <family val="2"/>
      </rPr>
      <t>) =</t>
    </r>
  </si>
  <si>
    <r>
      <rPr>
        <sz val="7"/>
        <color rgb="FFFF0000"/>
        <rFont val="Arial"/>
        <family val="2"/>
      </rPr>
      <t xml:space="preserve">Jv </t>
    </r>
    <r>
      <rPr>
        <sz val="7"/>
        <color indexed="8"/>
        <rFont val="Arial"/>
        <family val="2"/>
      </rPr>
      <t>(</t>
    </r>
    <r>
      <rPr>
        <sz val="5"/>
        <color rgb="FF000000"/>
        <rFont val="Arial"/>
        <family val="2"/>
      </rPr>
      <t>from</t>
    </r>
    <r>
      <rPr>
        <sz val="7"/>
        <color indexed="8"/>
        <rFont val="Arial"/>
        <family val="2"/>
      </rPr>
      <t xml:space="preserve"> </t>
    </r>
    <r>
      <rPr>
        <sz val="6"/>
        <color rgb="FF000000"/>
        <rFont val="Arial"/>
        <family val="2"/>
      </rPr>
      <t>RQD</t>
    </r>
    <r>
      <rPr>
        <sz val="7"/>
        <color indexed="8"/>
        <rFont val="Arial"/>
        <family val="2"/>
      </rPr>
      <t>) =</t>
    </r>
  </si>
  <si>
    <r>
      <t xml:space="preserve"> RQD = 110-2.5*(Vb/</t>
    </r>
    <r>
      <rPr>
        <sz val="6"/>
        <color rgb="FF000000"/>
        <rFont val="Symbol"/>
        <family val="1"/>
        <charset val="2"/>
      </rPr>
      <t>b</t>
    </r>
    <r>
      <rPr>
        <sz val="6"/>
        <color indexed="8"/>
        <rFont val="Arial"/>
        <family val="2"/>
      </rPr>
      <t>)</t>
    </r>
    <r>
      <rPr>
        <vertAlign val="superscript"/>
        <sz val="6"/>
        <color rgb="FF000000"/>
        <rFont val="Arial"/>
        <family val="2"/>
      </rPr>
      <t>-1/3</t>
    </r>
  </si>
  <si>
    <r>
      <t xml:space="preserve"> Vb = </t>
    </r>
    <r>
      <rPr>
        <sz val="6"/>
        <color rgb="FF000000"/>
        <rFont val="Symbol"/>
        <family val="1"/>
        <charset val="2"/>
      </rPr>
      <t>b</t>
    </r>
    <r>
      <rPr>
        <sz val="6"/>
        <color indexed="8"/>
        <rFont val="Arial"/>
        <family val="2"/>
      </rPr>
      <t>*(44-RQD/2.5)</t>
    </r>
    <r>
      <rPr>
        <vertAlign val="superscript"/>
        <sz val="6"/>
        <color rgb="FF000000"/>
        <rFont val="Arial"/>
        <family val="2"/>
      </rPr>
      <t>-3</t>
    </r>
  </si>
  <si>
    <r>
      <t xml:space="preserve"> Vb = </t>
    </r>
    <r>
      <rPr>
        <sz val="6"/>
        <color rgb="FF000000"/>
        <rFont val="Symbol"/>
        <family val="1"/>
        <charset val="2"/>
      </rPr>
      <t>b</t>
    </r>
    <r>
      <rPr>
        <sz val="6"/>
        <color indexed="8"/>
        <rFont val="Arial"/>
        <family val="2"/>
      </rPr>
      <t>*Jv</t>
    </r>
    <r>
      <rPr>
        <vertAlign val="superscript"/>
        <sz val="6"/>
        <color rgb="FF000000"/>
        <rFont val="Arial"/>
        <family val="2"/>
      </rPr>
      <t>-3</t>
    </r>
  </si>
  <si>
    <r>
      <t xml:space="preserve"> Jv = (Vb/</t>
    </r>
    <r>
      <rPr>
        <sz val="6"/>
        <color rgb="FF000000"/>
        <rFont val="Symbol"/>
        <family val="1"/>
        <charset val="2"/>
      </rPr>
      <t>b</t>
    </r>
    <r>
      <rPr>
        <sz val="6"/>
        <color indexed="8"/>
        <rFont val="Arial"/>
        <family val="2"/>
      </rPr>
      <t>)</t>
    </r>
    <r>
      <rPr>
        <vertAlign val="superscript"/>
        <sz val="6"/>
        <color rgb="FF000000"/>
        <rFont val="Arial"/>
        <family val="2"/>
      </rPr>
      <t>-1/3</t>
    </r>
  </si>
  <si>
    <t>Nj = Number of joint sets (used in RMi system)</t>
  </si>
  <si>
    <t>Continuous rockmass = Massive rock, or strongly jointed rocks</t>
  </si>
  <si>
    <t>Massive rock = Rockmass with few joints, related to tunnel size</t>
  </si>
  <si>
    <t>Jointed rock = Rockmass intersected by joints</t>
  </si>
  <si>
    <t>Blocky ground = Jointed rock</t>
  </si>
  <si>
    <t>Shotcrete = Sprayed concrete</t>
  </si>
  <si>
    <t>Fibrecrete = Fibre reinforced sprayed concrete</t>
  </si>
  <si>
    <t>Unaltered, fresh joint walls  //no filling</t>
  </si>
  <si>
    <t>Slightly altered joint walls (coloured, stained)</t>
  </si>
  <si>
    <t>Altered joint wall (no loose material)</t>
  </si>
  <si>
    <t>slightly altered</t>
  </si>
  <si>
    <t>altered</t>
  </si>
  <si>
    <t>altered joints</t>
  </si>
  <si>
    <t>fresh joints</t>
  </si>
  <si>
    <r>
      <t>Strike (</t>
    </r>
    <r>
      <rPr>
        <vertAlign val="superscript"/>
        <sz val="7"/>
        <rFont val="Arial"/>
        <family val="2"/>
      </rPr>
      <t xml:space="preserve"> o </t>
    </r>
    <r>
      <rPr>
        <sz val="7"/>
        <rFont val="Arial"/>
        <family val="2"/>
      </rPr>
      <t>) =</t>
    </r>
  </si>
  <si>
    <r>
      <t>Dip (</t>
    </r>
    <r>
      <rPr>
        <vertAlign val="superscript"/>
        <sz val="7"/>
        <rFont val="Arial"/>
        <family val="2"/>
      </rPr>
      <t xml:space="preserve"> o </t>
    </r>
    <r>
      <rPr>
        <sz val="7"/>
        <rFont val="Arial"/>
        <family val="2"/>
      </rPr>
      <t>) =</t>
    </r>
  </si>
  <si>
    <r>
      <t>Vb</t>
    </r>
    <r>
      <rPr>
        <vertAlign val="subscript"/>
        <sz val="7"/>
        <color rgb="FF000000"/>
        <rFont val="Arial"/>
        <family val="2"/>
      </rPr>
      <t>z</t>
    </r>
    <r>
      <rPr>
        <sz val="7"/>
        <color indexed="8"/>
        <rFont val="Arial"/>
        <family val="2"/>
      </rPr>
      <t xml:space="preserve"> </t>
    </r>
    <r>
      <rPr>
        <sz val="6"/>
        <color rgb="FF000000"/>
        <rFont val="Arial"/>
        <family val="2"/>
      </rPr>
      <t>(in dm</t>
    </r>
    <r>
      <rPr>
        <vertAlign val="superscript"/>
        <sz val="6"/>
        <color rgb="FF000000"/>
        <rFont val="Arial"/>
        <family val="2"/>
      </rPr>
      <t xml:space="preserve">3 </t>
    </r>
    <r>
      <rPr>
        <sz val="6"/>
        <color rgb="FF000000"/>
        <rFont val="Arial"/>
        <family val="2"/>
      </rPr>
      <t>)</t>
    </r>
    <r>
      <rPr>
        <sz val="7"/>
        <color indexed="8"/>
        <rFont val="Arial"/>
        <family val="2"/>
      </rPr>
      <t xml:space="preserve"> =</t>
    </r>
  </si>
  <si>
    <t>input check</t>
  </si>
  <si>
    <t>moderately jointed</t>
  </si>
  <si>
    <t>slightly jointed</t>
  </si>
  <si>
    <t>very unfavour.</t>
  </si>
  <si>
    <t xml:space="preserve">4. Support calculations </t>
  </si>
  <si>
    <t>in tunnel</t>
  </si>
  <si>
    <r>
      <t>NOTE: The strike (0 - 90</t>
    </r>
    <r>
      <rPr>
        <i/>
        <vertAlign val="superscript"/>
        <sz val="6"/>
        <color rgb="FF0000CC"/>
        <rFont val="Calibri"/>
        <family val="2"/>
        <scheme val="minor"/>
      </rPr>
      <t>o</t>
    </r>
    <r>
      <rPr>
        <i/>
        <sz val="6"/>
        <color rgb="FF0000CC"/>
        <rFont val="Calibri"/>
        <family val="2"/>
        <scheme val="minor"/>
      </rPr>
      <t>) is related to the orientation of the tunnel</t>
    </r>
  </si>
  <si>
    <r>
      <rPr>
        <b/>
        <sz val="8"/>
        <rFont val="Arial"/>
        <family val="2"/>
      </rPr>
      <t>Note:</t>
    </r>
    <r>
      <rPr>
        <sz val="8"/>
        <rFont val="Arial"/>
        <family val="2"/>
      </rPr>
      <t xml:space="preserve"> The rock support spreadsheet is only a help in the rock design process. It will not give </t>
    </r>
  </si>
  <si>
    <r>
      <rPr>
        <b/>
        <sz val="11"/>
        <rFont val="Arial"/>
        <family val="2"/>
      </rPr>
      <t xml:space="preserve">        </t>
    </r>
    <r>
      <rPr>
        <b/>
        <sz val="10"/>
        <rFont val="Arial"/>
        <family val="2"/>
      </rPr>
      <t xml:space="preserve">RMi system </t>
    </r>
  </si>
  <si>
    <t>G r o u n d   q u a l i t y</t>
  </si>
  <si>
    <t>Q system</t>
  </si>
  <si>
    <r>
      <t xml:space="preserve">in a </t>
    </r>
    <r>
      <rPr>
        <b/>
        <sz val="7"/>
        <color rgb="FF0000CC"/>
        <rFont val="Arial"/>
        <family val="2"/>
      </rPr>
      <t>10 m</t>
    </r>
    <r>
      <rPr>
        <sz val="7"/>
        <rFont val="Arial"/>
        <family val="2"/>
      </rPr>
      <t xml:space="preserve"> wide tunnel</t>
    </r>
  </si>
  <si>
    <t>INPUT</t>
  </si>
  <si>
    <t>Comments</t>
  </si>
  <si>
    <t>Weakness zones</t>
  </si>
  <si>
    <r>
      <t xml:space="preserve">Vb </t>
    </r>
    <r>
      <rPr>
        <sz val="8"/>
        <color theme="1"/>
        <rFont val="Calibri"/>
        <family val="2"/>
        <scheme val="minor"/>
      </rPr>
      <t xml:space="preserve"> ( m³ )</t>
    </r>
  </si>
  <si>
    <r>
      <t>Db</t>
    </r>
    <r>
      <rPr>
        <sz val="8"/>
        <color theme="0" tint="-0.34998626667073579"/>
        <rFont val="Calibri"/>
        <family val="2"/>
        <scheme val="minor"/>
      </rPr>
      <t xml:space="preserve">  (m )</t>
    </r>
  </si>
  <si>
    <r>
      <t>RMi</t>
    </r>
    <r>
      <rPr>
        <b/>
        <vertAlign val="subscript"/>
        <sz val="8"/>
        <color theme="1"/>
        <rFont val="Calibri"/>
        <family val="2"/>
        <scheme val="minor"/>
      </rPr>
      <t>z</t>
    </r>
  </si>
  <si>
    <t>Conditions used</t>
  </si>
  <si>
    <r>
      <t>SRF</t>
    </r>
    <r>
      <rPr>
        <b/>
        <vertAlign val="subscript"/>
        <sz val="8"/>
        <color rgb="FF000000"/>
        <rFont val="Arial Black"/>
        <family val="2"/>
      </rPr>
      <t>z</t>
    </r>
    <r>
      <rPr>
        <b/>
        <sz val="8"/>
        <color indexed="8"/>
        <rFont val="Arial Black"/>
        <family val="2"/>
      </rPr>
      <t xml:space="preserve"> =              </t>
    </r>
  </si>
  <si>
    <r>
      <t xml:space="preserve">Bolt </t>
    </r>
    <r>
      <rPr>
        <i/>
        <sz val="8"/>
        <rFont val="Arial"/>
        <family val="2"/>
      </rPr>
      <t>invert</t>
    </r>
  </si>
  <si>
    <r>
      <t xml:space="preserve">50 mm thick </t>
    </r>
    <r>
      <rPr>
        <i/>
        <sz val="8"/>
        <rFont val="Arial"/>
        <family val="2"/>
      </rPr>
      <t>on tunnel face</t>
    </r>
  </si>
  <si>
    <t>Influence of weakness zone size (Tz) on the Size ratio (Sr)</t>
  </si>
  <si>
    <t>No requirements to support</t>
  </si>
  <si>
    <t>Required min. shotcrete thickness in roof =</t>
  </si>
  <si>
    <t>Required max.bolt spacing in roof, c/c =</t>
  </si>
  <si>
    <t xml:space="preserve"> Groundwater condition</t>
  </si>
  <si>
    <t>(for weak zones, SL = 1)</t>
  </si>
  <si>
    <r>
      <t xml:space="preserve">See Table II </t>
    </r>
    <r>
      <rPr>
        <sz val="7"/>
        <color rgb="FF000000"/>
        <rFont val="Calibri"/>
        <family val="2"/>
        <scheme val="minor"/>
      </rPr>
      <t>→</t>
    </r>
  </si>
  <si>
    <t>arching</t>
  </si>
  <si>
    <t>interaction btw. zone and adjacent rockmass</t>
  </si>
  <si>
    <r>
      <t xml:space="preserve">(Jr </t>
    </r>
    <r>
      <rPr>
        <sz val="6"/>
        <color rgb="FF0000CC"/>
        <rFont val="Arial"/>
        <family val="2"/>
      </rPr>
      <t>or</t>
    </r>
    <r>
      <rPr>
        <sz val="7"/>
        <color rgb="FF0000CC"/>
        <rFont val="Arial"/>
        <family val="2"/>
      </rPr>
      <t xml:space="preserve"> jR = js × jw)</t>
    </r>
  </si>
  <si>
    <t>Joint condition</t>
  </si>
  <si>
    <t>Support capacity chart</t>
  </si>
  <si>
    <t>Support capacity table</t>
  </si>
  <si>
    <t>ESTIMATES OF SUPPORT CAPACITY</t>
  </si>
  <si>
    <t>from E. Hoek (1998): Tunnel support in weak rock. Keynote address, Symposium of Sedimentary Rock Engineering,</t>
  </si>
  <si>
    <t>Taipei, Taiwan, November 20-22, 1998</t>
  </si>
  <si>
    <t>Hoek and Brown (1980) and Brady and Brown (1985) have published equations that can be used to calculate the capacity of mechanically anchored rockbolts, shotcrete or concrete linings or steel sets for a circular tunnel.</t>
  </si>
  <si>
    <t xml:space="preserve">Typical support pressures for a variety of different systems for a range of tunnel sizes are plotted in the chart above. </t>
  </si>
  <si>
    <t>It must be emphasised that these support pressures are derived from idealised calculations for a circular tunnel and that great care has to be used in ap- plying these values to actual problems. As illustrated in the practical examples presented later, these support estimates provide a useful starting point in a tunnel support design evaluation, but it is necessary to check the details of this design by numerical analysis.</t>
  </si>
  <si>
    <t>Note that all of the support pressures in the chart have been plotted for steel set or rockbolt spacings of 1 m and that, in order to determine the support pressures for other spacings, the equations given for each support type should be used. When support types are combined, the total available support pressure can be estimated by summing the maximum allowable pressures for each system. However, in making this assumption, it has to be realised that these support systems do not necessarily act at the same time and that it may be necessary to check the compatibility of the systems in terms of deformation. For example, if steel sets embedded in shotcrete are installed immediately behind the tunnel face, the steel sets will accept load immediately while the shotcrete will accept an increasing amount of load as it hardens (compare curves for 50 mm shotcrete lining with various ages (i.e. strength) in the chart). Depending on the rate of advance of the tunnel, it may be necessary to check that the capacity of the steel sets is not exceeded before the shotcrete has hardened to the extent that it can carry its full share of the load.</t>
  </si>
  <si>
    <t>CF =</t>
  </si>
  <si>
    <t>Classification of continuity  (CF)</t>
  </si>
  <si>
    <t>continuous / massive</t>
  </si>
  <si>
    <t>continuous // discontin.</t>
  </si>
  <si>
    <t>discontinuous // contin.</t>
  </si>
  <si>
    <t>continuous / particulate</t>
  </si>
  <si>
    <r>
      <t>s</t>
    </r>
    <r>
      <rPr>
        <b/>
        <vertAlign val="subscript"/>
        <sz val="9"/>
        <color theme="0" tint="-0.249977111117893"/>
        <rFont val="Arial"/>
        <family val="2"/>
      </rPr>
      <t>c</t>
    </r>
    <r>
      <rPr>
        <b/>
        <sz val="9"/>
        <color theme="0" tint="-0.249977111117893"/>
        <rFont val="Arial"/>
        <family val="2"/>
      </rPr>
      <t xml:space="preserve"> =</t>
    </r>
  </si>
  <si>
    <r>
      <t>jR</t>
    </r>
    <r>
      <rPr>
        <b/>
        <sz val="7"/>
        <color theme="0" tint="-0.249977111117893"/>
        <rFont val="Arial"/>
        <family val="2"/>
      </rPr>
      <t xml:space="preserve"> </t>
    </r>
    <r>
      <rPr>
        <vertAlign val="subscript"/>
        <sz val="7"/>
        <color theme="0" tint="-0.249977111117893"/>
        <rFont val="Arial"/>
        <family val="2"/>
      </rPr>
      <t>used</t>
    </r>
    <r>
      <rPr>
        <b/>
        <sz val="8"/>
        <color theme="0" tint="-0.249977111117893"/>
        <rFont val="Arial"/>
        <family val="2"/>
      </rPr>
      <t xml:space="preserve"> =</t>
    </r>
  </si>
  <si>
    <r>
      <t>jA</t>
    </r>
    <r>
      <rPr>
        <b/>
        <sz val="7"/>
        <color theme="0" tint="-0.249977111117893"/>
        <rFont val="Arial"/>
        <family val="2"/>
      </rPr>
      <t xml:space="preserve"> </t>
    </r>
    <r>
      <rPr>
        <sz val="7"/>
        <color theme="0" tint="-0.249977111117893"/>
        <rFont val="Arial"/>
        <family val="2"/>
      </rPr>
      <t xml:space="preserve">used </t>
    </r>
    <r>
      <rPr>
        <b/>
        <sz val="8"/>
        <color theme="0" tint="-0.249977111117893"/>
        <rFont val="Arial"/>
        <family val="2"/>
      </rPr>
      <t>=</t>
    </r>
  </si>
  <si>
    <r>
      <rPr>
        <sz val="9"/>
        <color theme="0" tint="-0.249977111117893"/>
        <rFont val="Symbol"/>
        <family val="1"/>
        <charset val="2"/>
      </rPr>
      <t>b</t>
    </r>
    <r>
      <rPr>
        <sz val="9"/>
        <color theme="0" tint="-0.249977111117893"/>
        <rFont val="Arial"/>
        <family val="2"/>
      </rPr>
      <t xml:space="preserve"> =</t>
    </r>
  </si>
  <si>
    <r>
      <t>Block volume (m</t>
    </r>
    <r>
      <rPr>
        <vertAlign val="superscript"/>
        <sz val="8"/>
        <color theme="0" tint="-0.249977111117893"/>
        <rFont val="Arial"/>
        <family val="2"/>
      </rPr>
      <t>3</t>
    </r>
    <r>
      <rPr>
        <sz val="8"/>
        <color theme="0" tint="-0.249977111117893"/>
        <rFont val="Arial"/>
        <family val="2"/>
      </rPr>
      <t>)</t>
    </r>
  </si>
  <si>
    <r>
      <rPr>
        <b/>
        <sz val="8"/>
        <color theme="0" tint="-0.249977111117893"/>
        <rFont val="Arial"/>
        <family val="2"/>
      </rPr>
      <t>Vb</t>
    </r>
    <r>
      <rPr>
        <sz val="8"/>
        <color theme="0" tint="-0.249977111117893"/>
        <rFont val="Arial"/>
        <family val="2"/>
      </rPr>
      <t xml:space="preserve"> </t>
    </r>
    <r>
      <rPr>
        <sz val="6"/>
        <color theme="0" tint="-0.249977111117893"/>
        <rFont val="Arial"/>
        <family val="2"/>
      </rPr>
      <t>used</t>
    </r>
    <r>
      <rPr>
        <sz val="8"/>
        <color theme="0" tint="-0.249977111117893"/>
        <rFont val="Arial"/>
        <family val="2"/>
      </rPr>
      <t xml:space="preserve"> =</t>
    </r>
  </si>
  <si>
    <r>
      <t>RMi</t>
    </r>
    <r>
      <rPr>
        <vertAlign val="subscript"/>
        <sz val="8"/>
        <color theme="0" tint="-0.249977111117893"/>
        <rFont val="Arial"/>
        <family val="2"/>
      </rPr>
      <t>z</t>
    </r>
    <r>
      <rPr>
        <sz val="8"/>
        <color theme="0" tint="-0.249977111117893"/>
        <rFont val="Arial"/>
        <family val="2"/>
      </rPr>
      <t xml:space="preserve"> =</t>
    </r>
  </si>
  <si>
    <r>
      <t>RMi</t>
    </r>
    <r>
      <rPr>
        <vertAlign val="subscript"/>
        <sz val="8"/>
        <color theme="0" tint="-0.249977111117893"/>
        <rFont val="Arial"/>
        <family val="2"/>
      </rPr>
      <t>m</t>
    </r>
    <r>
      <rPr>
        <sz val="8"/>
        <color theme="0" tint="-0.249977111117893"/>
        <rFont val="Arial"/>
        <family val="2"/>
      </rPr>
      <t xml:space="preserve"> =</t>
    </r>
  </si>
  <si>
    <r>
      <rPr>
        <sz val="6"/>
        <color theme="0" tint="-0.249977111117893"/>
        <rFont val="Arial"/>
        <family val="2"/>
      </rPr>
      <t xml:space="preserve">resulting </t>
    </r>
    <r>
      <rPr>
        <sz val="7"/>
        <color theme="0" tint="-0.249977111117893"/>
        <rFont val="Arial"/>
        <family val="2"/>
      </rPr>
      <t>RMi</t>
    </r>
    <r>
      <rPr>
        <vertAlign val="subscript"/>
        <sz val="7"/>
        <color theme="0" tint="-0.249977111117893"/>
        <rFont val="Arial"/>
        <family val="2"/>
      </rPr>
      <t>zone</t>
    </r>
    <r>
      <rPr>
        <sz val="7"/>
        <color theme="0" tint="-0.249977111117893"/>
        <rFont val="Arial"/>
        <family val="2"/>
      </rPr>
      <t xml:space="preserve"> =</t>
    </r>
  </si>
  <si>
    <r>
      <t xml:space="preserve">Type of weakness zone                   </t>
    </r>
    <r>
      <rPr>
        <b/>
        <sz val="6"/>
        <color theme="0" tint="-0.249977111117893"/>
        <rFont val="Arial"/>
        <family val="2"/>
      </rPr>
      <t xml:space="preserve">  </t>
    </r>
    <r>
      <rPr>
        <sz val="6"/>
        <color theme="0" tint="-0.249977111117893"/>
        <rFont val="Arial"/>
        <family val="2"/>
      </rPr>
      <t xml:space="preserve"> (see 'Parameter tables')</t>
    </r>
  </si>
  <si>
    <r>
      <t>Average rock USC</t>
    </r>
    <r>
      <rPr>
        <vertAlign val="subscript"/>
        <sz val="8"/>
        <color theme="0" tint="-0.249977111117893"/>
        <rFont val="Arial"/>
        <family val="2"/>
      </rPr>
      <t>z</t>
    </r>
    <r>
      <rPr>
        <sz val="8"/>
        <color theme="0" tint="-0.249977111117893"/>
        <rFont val="Arial"/>
        <family val="2"/>
      </rPr>
      <t xml:space="preserve">  </t>
    </r>
    <r>
      <rPr>
        <sz val="7"/>
        <color theme="0" tint="-0.249977111117893"/>
        <rFont val="Arial"/>
        <family val="2"/>
      </rPr>
      <t>(in MPa)</t>
    </r>
  </si>
  <si>
    <r>
      <t>Average joint condition factor jC</t>
    </r>
    <r>
      <rPr>
        <vertAlign val="subscript"/>
        <sz val="8"/>
        <color theme="0" tint="-0.249977111117893"/>
        <rFont val="Arial"/>
        <family val="2"/>
      </rPr>
      <t>z</t>
    </r>
  </si>
  <si>
    <r>
      <t>Vb</t>
    </r>
    <r>
      <rPr>
        <b/>
        <vertAlign val="subscript"/>
        <sz val="8"/>
        <color theme="0" tint="-0.249977111117893"/>
        <rFont val="Arial"/>
        <family val="2"/>
      </rPr>
      <t>z</t>
    </r>
    <r>
      <rPr>
        <b/>
        <sz val="8"/>
        <color theme="0" tint="-0.249977111117893"/>
        <rFont val="Arial"/>
        <family val="2"/>
      </rPr>
      <t xml:space="preserve"> </t>
    </r>
    <r>
      <rPr>
        <sz val="8"/>
        <color theme="0" tint="-0.249977111117893"/>
        <rFont val="Arial"/>
        <family val="2"/>
      </rPr>
      <t xml:space="preserve"> ( m³ )</t>
    </r>
  </si>
  <si>
    <r>
      <t>assumed</t>
    </r>
    <r>
      <rPr>
        <vertAlign val="superscript"/>
        <sz val="7"/>
        <color theme="0" tint="-0.249977111117893"/>
        <rFont val="Arial"/>
        <family val="2"/>
      </rPr>
      <t>*)</t>
    </r>
  </si>
  <si>
    <r>
      <t>RMi</t>
    </r>
    <r>
      <rPr>
        <b/>
        <vertAlign val="subscript"/>
        <sz val="8"/>
        <color theme="0" tint="-0.249977111117893"/>
        <rFont val="Arial"/>
        <family val="2"/>
      </rPr>
      <t>z</t>
    </r>
  </si>
  <si>
    <r>
      <t>RQD</t>
    </r>
    <r>
      <rPr>
        <sz val="5"/>
        <color theme="0" tint="-0.249977111117893"/>
        <rFont val="Arial"/>
        <family val="2"/>
      </rPr>
      <t xml:space="preserve"> used</t>
    </r>
    <r>
      <rPr>
        <sz val="8"/>
        <color theme="0" tint="-0.249977111117893"/>
        <rFont val="Arial"/>
        <family val="2"/>
      </rPr>
      <t xml:space="preserve"> =</t>
    </r>
  </si>
  <si>
    <r>
      <t>Jn</t>
    </r>
    <r>
      <rPr>
        <sz val="7"/>
        <color theme="0" tint="-0.249977111117893"/>
        <rFont val="Arial"/>
        <family val="2"/>
      </rPr>
      <t xml:space="preserve"> used</t>
    </r>
    <r>
      <rPr>
        <sz val="8"/>
        <color theme="0" tint="-0.249977111117893"/>
        <rFont val="Arial"/>
        <family val="2"/>
      </rPr>
      <t xml:space="preserve"> =</t>
    </r>
  </si>
  <si>
    <r>
      <t xml:space="preserve">Jr </t>
    </r>
    <r>
      <rPr>
        <sz val="7"/>
        <color theme="0" tint="-0.249977111117893"/>
        <rFont val="Arial"/>
        <family val="2"/>
      </rPr>
      <t xml:space="preserve">used </t>
    </r>
    <r>
      <rPr>
        <sz val="8"/>
        <color theme="0" tint="-0.249977111117893"/>
        <rFont val="Arial"/>
        <family val="2"/>
      </rPr>
      <t>=</t>
    </r>
  </si>
  <si>
    <r>
      <t>Ja</t>
    </r>
    <r>
      <rPr>
        <sz val="7"/>
        <color theme="0" tint="-0.249977111117893"/>
        <rFont val="Arial"/>
        <family val="2"/>
      </rPr>
      <t xml:space="preserve"> </t>
    </r>
    <r>
      <rPr>
        <sz val="5"/>
        <color theme="0" tint="-0.249977111117893"/>
        <rFont val="Arial"/>
        <family val="2"/>
      </rPr>
      <t>used</t>
    </r>
    <r>
      <rPr>
        <sz val="8"/>
        <color theme="0" tint="-0.249977111117893"/>
        <rFont val="Arial"/>
        <family val="2"/>
      </rPr>
      <t xml:space="preserve"> =</t>
    </r>
  </si>
  <si>
    <r>
      <t>SRF</t>
    </r>
    <r>
      <rPr>
        <vertAlign val="subscript"/>
        <sz val="8"/>
        <color theme="0" tint="-0.249977111117893"/>
        <rFont val="Calibri"/>
        <family val="2"/>
        <scheme val="minor"/>
      </rPr>
      <t xml:space="preserve">stress </t>
    </r>
    <r>
      <rPr>
        <sz val="8"/>
        <color theme="0" tint="-0.249977111117893"/>
        <rFont val="Calibri"/>
        <family val="2"/>
        <scheme val="minor"/>
      </rPr>
      <t>→</t>
    </r>
  </si>
  <si>
    <r>
      <t>← SRF</t>
    </r>
    <r>
      <rPr>
        <vertAlign val="subscript"/>
        <sz val="8"/>
        <color theme="0" tint="-0.249977111117893"/>
        <rFont val="Calibri"/>
        <family val="2"/>
        <scheme val="minor"/>
      </rPr>
      <t xml:space="preserve"> zone</t>
    </r>
  </si>
  <si>
    <r>
      <t>SRF</t>
    </r>
    <r>
      <rPr>
        <vertAlign val="subscript"/>
        <sz val="8"/>
        <color theme="0" tint="-0.249977111117893"/>
        <rFont val="Arial"/>
        <family val="2"/>
      </rPr>
      <t>wall</t>
    </r>
    <r>
      <rPr>
        <sz val="8"/>
        <color theme="0" tint="-0.249977111117893"/>
        <rFont val="Arial"/>
        <family val="2"/>
      </rPr>
      <t xml:space="preserve"> =</t>
    </r>
  </si>
  <si>
    <r>
      <t>Q</t>
    </r>
    <r>
      <rPr>
        <vertAlign val="subscript"/>
        <sz val="8"/>
        <color theme="0" tint="-0.249977111117893"/>
        <rFont val="Arial"/>
        <family val="2"/>
      </rPr>
      <t>wall</t>
    </r>
    <r>
      <rPr>
        <sz val="8"/>
        <color theme="0" tint="-0.249977111117893"/>
        <rFont val="Arial"/>
        <family val="2"/>
      </rPr>
      <t xml:space="preserve"> =</t>
    </r>
  </si>
  <si>
    <r>
      <t xml:space="preserve">support </t>
    </r>
    <r>
      <rPr>
        <sz val="8"/>
        <color theme="0" tint="-0.249977111117893"/>
        <rFont val="Arial"/>
        <family val="2"/>
      </rPr>
      <t>Q</t>
    </r>
    <r>
      <rPr>
        <vertAlign val="subscript"/>
        <sz val="8"/>
        <color theme="0" tint="-0.249977111117893"/>
        <rFont val="Arial"/>
        <family val="2"/>
      </rPr>
      <t>wall</t>
    </r>
    <r>
      <rPr>
        <sz val="5"/>
        <color theme="0" tint="-0.249977111117893"/>
        <rFont val="Arial"/>
        <family val="2"/>
      </rPr>
      <t xml:space="preserve"> =</t>
    </r>
  </si>
  <si>
    <r>
      <t xml:space="preserve">A3 </t>
    </r>
    <r>
      <rPr>
        <sz val="6"/>
        <color theme="0" tint="-0.249977111117893"/>
        <rFont val="Arial"/>
        <family val="2"/>
      </rPr>
      <t>used</t>
    </r>
    <r>
      <rPr>
        <sz val="8"/>
        <color theme="0" tint="-0.249977111117893"/>
        <rFont val="Arial"/>
        <family val="2"/>
      </rPr>
      <t xml:space="preserve"> =</t>
    </r>
  </si>
  <si>
    <r>
      <rPr>
        <sz val="8"/>
        <color theme="0" tint="-0.249977111117893"/>
        <rFont val="Arial"/>
        <family val="2"/>
      </rPr>
      <t xml:space="preserve">Infilling+weathering </t>
    </r>
    <r>
      <rPr>
        <sz val="7"/>
        <color theme="0" tint="-0.249977111117893"/>
        <rFont val="Arial"/>
        <family val="2"/>
      </rPr>
      <t xml:space="preserve"> used =</t>
    </r>
  </si>
  <si>
    <r>
      <t xml:space="preserve">Joint orientation </t>
    </r>
    <r>
      <rPr>
        <sz val="7"/>
        <color theme="0" tint="-0.249977111117893"/>
        <rFont val="Calibri"/>
        <family val="2"/>
        <scheme val="minor"/>
      </rPr>
      <t xml:space="preserve">(in roof) </t>
    </r>
  </si>
  <si>
    <r>
      <t>CF</t>
    </r>
    <r>
      <rPr>
        <vertAlign val="subscript"/>
        <sz val="7"/>
        <color theme="0" tint="-0.249977111117893"/>
        <rFont val="Arial"/>
        <family val="2"/>
      </rPr>
      <t>roof</t>
    </r>
    <r>
      <rPr>
        <sz val="7"/>
        <color theme="0" tint="-0.249977111117893"/>
        <rFont val="Arial"/>
        <family val="2"/>
      </rPr>
      <t xml:space="preserve"> =</t>
    </r>
  </si>
  <si>
    <r>
      <t>CF</t>
    </r>
    <r>
      <rPr>
        <vertAlign val="subscript"/>
        <sz val="7"/>
        <color theme="0" tint="-0.249977111117893"/>
        <rFont val="Arial"/>
        <family val="2"/>
      </rPr>
      <t>wall</t>
    </r>
    <r>
      <rPr>
        <sz val="7"/>
        <color theme="0" tint="-0.249977111117893"/>
        <rFont val="Arial"/>
        <family val="2"/>
      </rPr>
      <t xml:space="preserve"> =</t>
    </r>
  </si>
  <si>
    <r>
      <t>SL</t>
    </r>
    <r>
      <rPr>
        <vertAlign val="subscript"/>
        <sz val="8"/>
        <color theme="0" tint="-0.249977111117893"/>
        <rFont val="Arial"/>
        <family val="2"/>
      </rPr>
      <t>wall</t>
    </r>
    <r>
      <rPr>
        <sz val="8"/>
        <color theme="0" tint="-0.249977111117893"/>
        <rFont val="Arial"/>
        <family val="2"/>
      </rPr>
      <t xml:space="preserve"> =</t>
    </r>
  </si>
  <si>
    <r>
      <t>Nj</t>
    </r>
    <r>
      <rPr>
        <b/>
        <sz val="7"/>
        <color theme="0" tint="-0.249977111117893"/>
        <rFont val="Arial"/>
        <family val="2"/>
      </rPr>
      <t xml:space="preserve"> </t>
    </r>
    <r>
      <rPr>
        <sz val="7"/>
        <color theme="0" tint="-0.249977111117893"/>
        <rFont val="Arial"/>
        <family val="2"/>
      </rPr>
      <t>used</t>
    </r>
    <r>
      <rPr>
        <b/>
        <sz val="8"/>
        <color theme="0" tint="-0.249977111117893"/>
        <rFont val="Arial"/>
        <family val="2"/>
      </rPr>
      <t xml:space="preserve"> =</t>
    </r>
  </si>
  <si>
    <r>
      <t>Co</t>
    </r>
    <r>
      <rPr>
        <b/>
        <vertAlign val="subscript"/>
        <sz val="8"/>
        <color theme="0" tint="-0.249977111117893"/>
        <rFont val="Arial"/>
        <family val="2"/>
      </rPr>
      <t xml:space="preserve">roof </t>
    </r>
    <r>
      <rPr>
        <b/>
        <sz val="8"/>
        <color theme="0" tint="-0.249977111117893"/>
        <rFont val="Arial"/>
        <family val="2"/>
      </rPr>
      <t xml:space="preserve"> =</t>
    </r>
  </si>
  <si>
    <r>
      <t>Co</t>
    </r>
    <r>
      <rPr>
        <b/>
        <vertAlign val="subscript"/>
        <sz val="8"/>
        <color theme="0" tint="-0.249977111117893"/>
        <rFont val="Arial"/>
        <family val="2"/>
      </rPr>
      <t>wall</t>
    </r>
    <r>
      <rPr>
        <b/>
        <sz val="8"/>
        <color theme="0" tint="-0.249977111117893"/>
        <rFont val="Arial"/>
        <family val="2"/>
      </rPr>
      <t xml:space="preserve"> =</t>
    </r>
  </si>
  <si>
    <r>
      <rPr>
        <sz val="6"/>
        <color theme="0" tint="-0.249977111117893"/>
        <rFont val="Arial"/>
        <family val="2"/>
      </rPr>
      <t xml:space="preserve">jointed </t>
    </r>
    <r>
      <rPr>
        <sz val="8"/>
        <color theme="0" tint="-0.249977111117893"/>
        <rFont val="Arial"/>
        <family val="2"/>
      </rPr>
      <t>RMi =</t>
    </r>
  </si>
  <si>
    <r>
      <t>Gc</t>
    </r>
    <r>
      <rPr>
        <b/>
        <vertAlign val="subscript"/>
        <sz val="8"/>
        <color theme="0" tint="-0.249977111117893"/>
        <rFont val="Arial"/>
        <family val="2"/>
      </rPr>
      <t>roof</t>
    </r>
    <r>
      <rPr>
        <b/>
        <sz val="8"/>
        <color theme="0" tint="-0.249977111117893"/>
        <rFont val="Arial"/>
        <family val="2"/>
      </rPr>
      <t xml:space="preserve"> =</t>
    </r>
  </si>
  <si>
    <r>
      <rPr>
        <sz val="7"/>
        <color theme="0" tint="-0.249977111117893"/>
        <rFont val="Calibri"/>
        <family val="2"/>
        <scheme val="minor"/>
      </rPr>
      <t xml:space="preserve">used </t>
    </r>
    <r>
      <rPr>
        <b/>
        <sz val="8"/>
        <color theme="0" tint="-0.249977111117893"/>
        <rFont val="Calibri"/>
        <family val="2"/>
        <scheme val="minor"/>
      </rPr>
      <t>Gc</t>
    </r>
    <r>
      <rPr>
        <b/>
        <vertAlign val="subscript"/>
        <sz val="8"/>
        <color theme="0" tint="-0.249977111117893"/>
        <rFont val="Calibri"/>
        <family val="2"/>
        <scheme val="minor"/>
      </rPr>
      <t>roof</t>
    </r>
    <r>
      <rPr>
        <b/>
        <sz val="8"/>
        <color theme="0" tint="-0.249977111117893"/>
        <rFont val="Calibri"/>
        <family val="2"/>
        <scheme val="minor"/>
      </rPr>
      <t xml:space="preserve"> =</t>
    </r>
  </si>
  <si>
    <r>
      <t>Gc</t>
    </r>
    <r>
      <rPr>
        <b/>
        <vertAlign val="subscript"/>
        <sz val="8"/>
        <color theme="0" tint="-0.249977111117893"/>
        <rFont val="Arial"/>
        <family val="2"/>
      </rPr>
      <t>wall</t>
    </r>
    <r>
      <rPr>
        <b/>
        <sz val="8"/>
        <color theme="0" tint="-0.249977111117893"/>
        <rFont val="Arial"/>
        <family val="2"/>
      </rPr>
      <t xml:space="preserve"> =</t>
    </r>
  </si>
  <si>
    <r>
      <rPr>
        <sz val="7"/>
        <color theme="0" tint="-0.249977111117893"/>
        <rFont val="Calibri"/>
        <family val="2"/>
        <scheme val="minor"/>
      </rPr>
      <t xml:space="preserve">used </t>
    </r>
    <r>
      <rPr>
        <b/>
        <sz val="8"/>
        <color theme="0" tint="-0.249977111117893"/>
        <rFont val="Calibri"/>
        <family val="2"/>
        <scheme val="minor"/>
      </rPr>
      <t>Gc</t>
    </r>
    <r>
      <rPr>
        <b/>
        <vertAlign val="subscript"/>
        <sz val="8"/>
        <color theme="0" tint="-0.249977111117893"/>
        <rFont val="Calibri"/>
        <family val="2"/>
        <scheme val="minor"/>
      </rPr>
      <t>wall</t>
    </r>
    <r>
      <rPr>
        <b/>
        <sz val="8"/>
        <color theme="0" tint="-0.249977111117893"/>
        <rFont val="Calibri"/>
        <family val="2"/>
        <scheme val="minor"/>
      </rPr>
      <t xml:space="preserve"> =</t>
    </r>
  </si>
  <si>
    <r>
      <t>Sr</t>
    </r>
    <r>
      <rPr>
        <b/>
        <vertAlign val="subscript"/>
        <sz val="8"/>
        <color theme="0" tint="-0.249977111117893"/>
        <rFont val="Arial"/>
        <family val="2"/>
      </rPr>
      <t xml:space="preserve">roof </t>
    </r>
    <r>
      <rPr>
        <b/>
        <sz val="8"/>
        <color theme="0" tint="-0.249977111117893"/>
        <rFont val="Arial"/>
        <family val="2"/>
      </rPr>
      <t xml:space="preserve"> =</t>
    </r>
  </si>
  <si>
    <r>
      <rPr>
        <sz val="7"/>
        <color theme="0" tint="-0.249977111117893"/>
        <rFont val="Calibri"/>
        <family val="2"/>
        <scheme val="minor"/>
      </rPr>
      <t>used</t>
    </r>
    <r>
      <rPr>
        <b/>
        <sz val="8"/>
        <color theme="0" tint="-0.249977111117893"/>
        <rFont val="Calibri"/>
        <family val="2"/>
        <scheme val="minor"/>
      </rPr>
      <t xml:space="preserve"> Sr</t>
    </r>
    <r>
      <rPr>
        <b/>
        <vertAlign val="subscript"/>
        <sz val="8"/>
        <color theme="0" tint="-0.249977111117893"/>
        <rFont val="Calibri"/>
        <family val="2"/>
        <scheme val="minor"/>
      </rPr>
      <t xml:space="preserve">roof </t>
    </r>
    <r>
      <rPr>
        <b/>
        <sz val="8"/>
        <color theme="0" tint="-0.249977111117893"/>
        <rFont val="Calibri"/>
        <family val="2"/>
        <scheme val="minor"/>
      </rPr>
      <t xml:space="preserve"> =</t>
    </r>
  </si>
  <si>
    <r>
      <t>Sr</t>
    </r>
    <r>
      <rPr>
        <b/>
        <vertAlign val="subscript"/>
        <sz val="8"/>
        <color theme="0" tint="-0.249977111117893"/>
        <rFont val="Arial"/>
        <family val="2"/>
      </rPr>
      <t>wall</t>
    </r>
    <r>
      <rPr>
        <b/>
        <sz val="8"/>
        <color theme="0" tint="-0.249977111117893"/>
        <rFont val="Arial"/>
        <family val="2"/>
      </rPr>
      <t xml:space="preserve"> =</t>
    </r>
  </si>
  <si>
    <r>
      <rPr>
        <sz val="7"/>
        <color theme="0" tint="-0.249977111117893"/>
        <rFont val="Calibri"/>
        <family val="2"/>
        <scheme val="minor"/>
      </rPr>
      <t>used</t>
    </r>
    <r>
      <rPr>
        <b/>
        <sz val="8"/>
        <color theme="0" tint="-0.249977111117893"/>
        <rFont val="Calibri"/>
        <family val="2"/>
        <scheme val="minor"/>
      </rPr>
      <t xml:space="preserve"> Sr</t>
    </r>
    <r>
      <rPr>
        <b/>
        <vertAlign val="subscript"/>
        <sz val="8"/>
        <color theme="0" tint="-0.249977111117893"/>
        <rFont val="Calibri"/>
        <family val="2"/>
        <scheme val="minor"/>
      </rPr>
      <t>wall</t>
    </r>
    <r>
      <rPr>
        <b/>
        <sz val="8"/>
        <color theme="0" tint="-0.249977111117893"/>
        <rFont val="Calibri"/>
        <family val="2"/>
        <scheme val="minor"/>
      </rPr>
      <t xml:space="preserve"> =</t>
    </r>
  </si>
  <si>
    <r>
      <t>Support capacity, P</t>
    </r>
    <r>
      <rPr>
        <vertAlign val="subscript"/>
        <sz val="8"/>
        <color theme="0" tint="-0.249977111117893"/>
        <rFont val="Arial"/>
        <family val="2"/>
      </rPr>
      <t>i</t>
    </r>
  </si>
  <si>
    <r>
      <rPr>
        <b/>
        <sz val="8"/>
        <color theme="0" tint="-0.249977111117893"/>
        <rFont val="Arial"/>
        <family val="2"/>
      </rPr>
      <t>Rockmass deformation modulus</t>
    </r>
    <r>
      <rPr>
        <sz val="8"/>
        <color theme="0" tint="-0.249977111117893"/>
        <rFont val="Arial"/>
        <family val="2"/>
      </rPr>
      <t xml:space="preserve">                     </t>
    </r>
    <r>
      <rPr>
        <sz val="6"/>
        <color theme="0" tint="-0.249977111117893"/>
        <rFont val="Arial"/>
        <family val="2"/>
      </rPr>
      <t xml:space="preserve">   (calculated from RMi)</t>
    </r>
  </si>
  <si>
    <r>
      <t xml:space="preserve">GPa </t>
    </r>
    <r>
      <rPr>
        <sz val="6"/>
        <color theme="0" tint="-0.249977111117893"/>
        <rFont val="Arial"/>
        <family val="2"/>
      </rPr>
      <t>(new eq. RMi)</t>
    </r>
  </si>
  <si>
    <r>
      <t xml:space="preserve">GPa </t>
    </r>
    <r>
      <rPr>
        <sz val="6"/>
        <color theme="0" tint="-0.249977111117893"/>
        <rFont val="Arial"/>
        <family val="2"/>
      </rPr>
      <t>(old eq. RMi )</t>
    </r>
  </si>
  <si>
    <r>
      <t xml:space="preserve">Em </t>
    </r>
    <r>
      <rPr>
        <sz val="6"/>
        <color theme="0" tint="-0.249977111117893"/>
        <rFont val="Arial"/>
        <family val="2"/>
      </rPr>
      <t>(max)</t>
    </r>
    <r>
      <rPr>
        <sz val="8"/>
        <color theme="0" tint="-0.249977111117893"/>
        <rFont val="Arial"/>
        <family val="2"/>
      </rPr>
      <t xml:space="preserve"> =</t>
    </r>
  </si>
  <si>
    <r>
      <t xml:space="preserve">GPa   </t>
    </r>
    <r>
      <rPr>
        <sz val="7"/>
        <color theme="0" tint="-0.249977111117893"/>
        <rFont val="Arial"/>
        <family val="2"/>
      </rPr>
      <t xml:space="preserve"> (Em = 0.2*</t>
    </r>
    <r>
      <rPr>
        <sz val="6"/>
        <color theme="0" tint="-0.249977111117893"/>
        <rFont val="Symbol"/>
        <family val="1"/>
        <charset val="2"/>
      </rPr>
      <t>s</t>
    </r>
    <r>
      <rPr>
        <vertAlign val="subscript"/>
        <sz val="7"/>
        <color theme="0" tint="-0.249977111117893"/>
        <rFont val="Arial"/>
        <family val="2"/>
      </rPr>
      <t>c</t>
    </r>
    <r>
      <rPr>
        <sz val="7"/>
        <color theme="0" tint="-0.249977111117893"/>
        <rFont val="Arial"/>
        <family val="2"/>
      </rPr>
      <t>)</t>
    </r>
  </si>
  <si>
    <r>
      <t xml:space="preserve">Classification of block size (Vb) </t>
    </r>
    <r>
      <rPr>
        <sz val="8"/>
        <color theme="0" tint="-0.249977111117893"/>
        <rFont val="Arial"/>
        <family val="2"/>
      </rPr>
      <t>in m</t>
    </r>
    <r>
      <rPr>
        <vertAlign val="superscript"/>
        <sz val="8"/>
        <color theme="0" tint="-0.249977111117893"/>
        <rFont val="Arial"/>
        <family val="2"/>
      </rPr>
      <t>3</t>
    </r>
  </si>
  <si>
    <r>
      <t xml:space="preserve">Used in calculations </t>
    </r>
    <r>
      <rPr>
        <sz val="8"/>
        <color theme="0" tint="-0.249977111117893"/>
        <rFont val="Calibri"/>
        <family val="2"/>
      </rPr>
      <t>→</t>
    </r>
  </si>
  <si>
    <t>Help to characterize joint or zone orientation</t>
  </si>
  <si>
    <t>(see also 'Parameter tables')</t>
  </si>
  <si>
    <t>INFORMATION and CHECKS</t>
  </si>
  <si>
    <t xml:space="preserve">FIELD or SITE OBSERVATIONS  </t>
  </si>
  <si>
    <r>
      <t>assumed</t>
    </r>
    <r>
      <rPr>
        <vertAlign val="superscript"/>
        <sz val="7"/>
        <color theme="0" tint="-0.34998626667073579"/>
        <rFont val="Arial Narrow"/>
        <family val="2"/>
      </rPr>
      <t>*)</t>
    </r>
  </si>
  <si>
    <r>
      <rPr>
        <vertAlign val="superscript"/>
        <sz val="7"/>
        <color theme="0" tint="-0.34998626667073579"/>
        <rFont val="Arial"/>
        <family val="2"/>
      </rPr>
      <t>*)</t>
    </r>
    <r>
      <rPr>
        <sz val="7"/>
        <color theme="0" tint="-0.34998626667073579"/>
        <rFont val="Arial"/>
        <family val="2"/>
      </rPr>
      <t>Adjustments can be made</t>
    </r>
  </si>
  <si>
    <t>LOCALITY</t>
  </si>
  <si>
    <t>Rock type:</t>
  </si>
  <si>
    <t xml:space="preserve"> of outcrop</t>
  </si>
  <si>
    <t>Observation:</t>
  </si>
  <si>
    <t xml:space="preserve">Weathering: </t>
  </si>
  <si>
    <r>
      <t xml:space="preserve">Rock bolts </t>
    </r>
    <r>
      <rPr>
        <sz val="9"/>
        <rFont val="Calibri"/>
        <family val="2"/>
        <scheme val="minor"/>
      </rPr>
      <t xml:space="preserve">→ </t>
    </r>
  </si>
  <si>
    <r>
      <t xml:space="preserve">Shotcrete </t>
    </r>
    <r>
      <rPr>
        <sz val="9"/>
        <rFont val="Calibri"/>
        <family val="2"/>
        <scheme val="minor"/>
      </rPr>
      <t xml:space="preserve">→ </t>
    </r>
  </si>
  <si>
    <r>
      <t xml:space="preserve">Rock bolts </t>
    </r>
    <r>
      <rPr>
        <sz val="9"/>
        <rFont val="Calibri"/>
        <family val="2"/>
        <scheme val="minor"/>
      </rPr>
      <t>→</t>
    </r>
    <r>
      <rPr>
        <b/>
        <sz val="9"/>
        <rFont val="Calibri"/>
        <family val="2"/>
        <scheme val="minor"/>
      </rPr>
      <t xml:space="preserve"> </t>
    </r>
  </si>
  <si>
    <r>
      <t xml:space="preserve">Special             designed </t>
    </r>
    <r>
      <rPr>
        <sz val="9"/>
        <rFont val="Calibri"/>
        <family val="2"/>
        <scheme val="minor"/>
      </rPr>
      <t>→</t>
    </r>
    <r>
      <rPr>
        <b/>
        <sz val="9"/>
        <rFont val="Calibri"/>
        <family val="2"/>
        <scheme val="minor"/>
      </rPr>
      <t xml:space="preserve">         support </t>
    </r>
  </si>
  <si>
    <r>
      <t xml:space="preserve">Limitations </t>
    </r>
    <r>
      <rPr>
        <sz val="9"/>
        <rFont val="Calibri"/>
        <family val="2"/>
        <scheme val="minor"/>
      </rPr>
      <t>→</t>
    </r>
  </si>
  <si>
    <r>
      <t xml:space="preserve"> Degree of jointing</t>
    </r>
    <r>
      <rPr>
        <sz val="8"/>
        <rFont val="Calibri"/>
        <family val="2"/>
        <scheme val="minor"/>
      </rPr>
      <t xml:space="preserve"> </t>
    </r>
  </si>
  <si>
    <t>Very long and/or flat blocks</t>
  </si>
  <si>
    <t>Slightly long and/or flat blocks</t>
  </si>
  <si>
    <t>Moderately long and/or flat blocks</t>
  </si>
  <si>
    <t>3 - 6</t>
  </si>
  <si>
    <t>6 - 17</t>
  </si>
  <si>
    <t>&gt; 17</t>
  </si>
  <si>
    <t>Extremely long and/or flat blocks</t>
  </si>
  <si>
    <t>1 - 1.8</t>
  </si>
  <si>
    <t>1.8 - 3</t>
  </si>
  <si>
    <r>
      <t>(</t>
    </r>
    <r>
      <rPr>
        <sz val="7"/>
        <rFont val="Symbol"/>
        <family val="1"/>
        <charset val="2"/>
      </rPr>
      <t>b</t>
    </r>
    <r>
      <rPr>
        <sz val="7"/>
        <rFont val="Arial"/>
        <family val="2"/>
      </rPr>
      <t>)</t>
    </r>
  </si>
  <si>
    <t xml:space="preserve"> Block shape factor</t>
  </si>
  <si>
    <t>extremely*)</t>
  </si>
  <si>
    <t>very*)</t>
  </si>
  <si>
    <t>slightly*)</t>
  </si>
  <si>
    <t>cubical blocks</t>
  </si>
  <si>
    <t>moderately*)</t>
  </si>
  <si>
    <t>(Sa) is automatically calculated from the block diameter (Db)</t>
  </si>
  <si>
    <t>Av. joint condition factor</t>
  </si>
  <si>
    <t xml:space="preserve">NOTE: </t>
  </si>
  <si>
    <t xml:space="preserve">blue values </t>
  </si>
  <si>
    <t>can be adjusted</t>
  </si>
  <si>
    <t>Joint wall condition</t>
  </si>
  <si>
    <t>Input of strike and dip*):</t>
  </si>
  <si>
    <t>*) Strike and dip are related to the tunnel direction</t>
  </si>
  <si>
    <t>NOTE:</t>
  </si>
  <si>
    <t>Blue values and blue text</t>
  </si>
  <si>
    <t>of drillcores</t>
  </si>
  <si>
    <r>
      <t xml:space="preserve">(for </t>
    </r>
    <r>
      <rPr>
        <sz val="7"/>
        <rFont val="Calibri"/>
        <family val="2"/>
        <scheme val="minor"/>
      </rPr>
      <t>Q</t>
    </r>
    <r>
      <rPr>
        <sz val="6"/>
        <rFont val="Calibri"/>
        <family val="2"/>
        <scheme val="minor"/>
      </rPr>
      <t xml:space="preserve"> &gt; 1 )</t>
    </r>
  </si>
  <si>
    <t>Blue numbers can be adjusted</t>
  </si>
  <si>
    <t>Assumptions</t>
  </si>
  <si>
    <t>can be adjusted)</t>
  </si>
  <si>
    <t>(Blue numbers and text</t>
  </si>
  <si>
    <t>Rockmass is considered massive for Vb &gt;</t>
  </si>
  <si>
    <r>
      <t xml:space="preserve">2. Further calculations of </t>
    </r>
    <r>
      <rPr>
        <b/>
        <u/>
        <sz val="9"/>
        <color theme="0" tint="-0.249977111117893"/>
        <rFont val="Arial"/>
        <family val="2"/>
      </rPr>
      <t>jointed</t>
    </r>
    <r>
      <rPr>
        <b/>
        <sz val="9"/>
        <color theme="0" tint="-0.249977111117893"/>
        <rFont val="Arial"/>
        <family val="2"/>
      </rPr>
      <t xml:space="preserve"> rock masses</t>
    </r>
  </si>
  <si>
    <r>
      <t xml:space="preserve">1. Input parameters for </t>
    </r>
    <r>
      <rPr>
        <b/>
        <u/>
        <sz val="9"/>
        <color theme="0" tint="-0.249977111117893"/>
        <rFont val="Arial"/>
        <family val="2"/>
      </rPr>
      <t>jointed</t>
    </r>
    <r>
      <rPr>
        <b/>
        <sz val="9"/>
        <color theme="0" tint="-0.249977111117893"/>
        <rFont val="Arial"/>
        <family val="2"/>
      </rPr>
      <t xml:space="preserve"> rock masses (between zones)</t>
    </r>
  </si>
  <si>
    <r>
      <t xml:space="preserve">3. RMi calculations of </t>
    </r>
    <r>
      <rPr>
        <b/>
        <u/>
        <sz val="9"/>
        <color theme="0" tint="-0.249977111117893"/>
        <rFont val="Arial"/>
        <family val="2"/>
      </rPr>
      <t>weakness zones</t>
    </r>
  </si>
  <si>
    <t>Joint wall coating of friction materials (silt, sand, etc.)</t>
  </si>
  <si>
    <t>If no input of tunnel span is given,</t>
  </si>
  <si>
    <t>If no input of tunnel wall height is given,</t>
  </si>
  <si>
    <t>Excavation type, ESR =</t>
  </si>
  <si>
    <r>
      <t xml:space="preserve"> (f</t>
    </r>
    <r>
      <rPr>
        <vertAlign val="subscript"/>
        <sz val="8"/>
        <color theme="0" tint="-0.249977111117893"/>
        <rFont val="Symbol"/>
        <family val="1"/>
        <charset val="2"/>
      </rPr>
      <t>s</t>
    </r>
    <r>
      <rPr>
        <sz val="8"/>
        <color theme="0" tint="-0.249977111117893"/>
        <rFont val="Calibri"/>
        <family val="2"/>
        <scheme val="minor"/>
      </rPr>
      <t xml:space="preserve"> ≈ 0.5)</t>
    </r>
  </si>
  <si>
    <t>in zones Jr= 1</t>
  </si>
  <si>
    <t>Approx.</t>
  </si>
  <si>
    <t>Assumed no rock burst for UCS &lt;</t>
  </si>
  <si>
    <r>
      <t>Classification of the block shape factor</t>
    </r>
    <r>
      <rPr>
        <i/>
        <sz val="12"/>
        <rFont val="Symbol"/>
        <family val="1"/>
        <charset val="2"/>
      </rPr>
      <t xml:space="preserve"> (b)</t>
    </r>
  </si>
  <si>
    <t>S1 =</t>
  </si>
  <si>
    <t>S3 =</t>
  </si>
  <si>
    <r>
      <rPr>
        <sz val="7"/>
        <rFont val="Arial"/>
        <family val="2"/>
      </rPr>
      <t>answer:</t>
    </r>
    <r>
      <rPr>
        <b/>
        <sz val="7"/>
        <color rgb="FF0000CC"/>
        <rFont val="Arial"/>
        <family val="2"/>
      </rPr>
      <t xml:space="preserve">  </t>
    </r>
    <r>
      <rPr>
        <b/>
        <sz val="7"/>
        <color rgb="FF0000CC"/>
        <rFont val="Symbol"/>
        <family val="1"/>
        <charset val="2"/>
      </rPr>
      <t>b</t>
    </r>
    <r>
      <rPr>
        <b/>
        <sz val="7"/>
        <color rgb="FF0000CC"/>
        <rFont val="Arial"/>
        <family val="2"/>
      </rPr>
      <t xml:space="preserve"> =</t>
    </r>
  </si>
  <si>
    <t>Help to calculate and compare values of RQD, Block size (Vb) and Volumetric joint count (Jv)</t>
  </si>
  <si>
    <r>
      <t>joints/m</t>
    </r>
    <r>
      <rPr>
        <vertAlign val="superscript"/>
        <sz val="6"/>
        <rFont val="Calibri"/>
        <family val="2"/>
        <scheme val="minor"/>
      </rPr>
      <t>3</t>
    </r>
  </si>
  <si>
    <t>cells are for input</t>
  </si>
  <si>
    <r>
      <rPr>
        <sz val="8"/>
        <color rgb="FF000000"/>
        <rFont val="Symbol"/>
        <family val="1"/>
        <charset val="2"/>
      </rPr>
      <t>b</t>
    </r>
    <r>
      <rPr>
        <sz val="7"/>
        <color rgb="FF000000"/>
        <rFont val="Symbol"/>
        <family val="1"/>
        <charset val="2"/>
      </rPr>
      <t xml:space="preserve"> </t>
    </r>
    <r>
      <rPr>
        <sz val="7"/>
        <color indexed="8"/>
        <rFont val="Arial"/>
        <family val="2"/>
      </rPr>
      <t>=</t>
    </r>
  </si>
  <si>
    <r>
      <rPr>
        <b/>
        <sz val="7"/>
        <color rgb="FF000000"/>
        <rFont val="Arial Narrow"/>
        <family val="2"/>
      </rPr>
      <t>Block shape</t>
    </r>
    <r>
      <rPr>
        <sz val="7"/>
        <color rgb="FF000000"/>
        <rFont val="Arial Narrow"/>
        <family val="2"/>
      </rPr>
      <t xml:space="preserve"> (</t>
    </r>
    <r>
      <rPr>
        <sz val="7"/>
        <color rgb="FF000000"/>
        <rFont val="Symbol"/>
        <family val="1"/>
        <charset val="2"/>
      </rPr>
      <t>b</t>
    </r>
    <r>
      <rPr>
        <sz val="7"/>
        <color rgb="FF000000"/>
        <rFont val="Arial Narrow"/>
        <family val="2"/>
      </rPr>
      <t>) can be estimated from input of block dimensions:</t>
    </r>
  </si>
  <si>
    <r>
      <rPr>
        <sz val="7"/>
        <color rgb="FF000000"/>
        <rFont val="Symbol"/>
        <family val="1"/>
        <charset val="2"/>
      </rPr>
      <t>b</t>
    </r>
    <r>
      <rPr>
        <sz val="6"/>
        <color indexed="8"/>
        <rFont val="Arial"/>
        <family val="1"/>
        <charset val="2"/>
      </rPr>
      <t xml:space="preserve"> = 38 - 60 for moderately long or flat blocks, </t>
    </r>
    <r>
      <rPr>
        <sz val="7"/>
        <color rgb="FF000000"/>
        <rFont val="Symbol"/>
        <family val="1"/>
        <charset val="2"/>
      </rPr>
      <t>b</t>
    </r>
    <r>
      <rPr>
        <sz val="6"/>
        <color indexed="8"/>
        <rFont val="Arial"/>
        <family val="1"/>
        <charset val="2"/>
      </rPr>
      <t xml:space="preserve"> = 60 - 150 for very long or flat blocks.  For more info:</t>
    </r>
  </si>
  <si>
    <r>
      <rPr>
        <b/>
        <sz val="6"/>
        <color rgb="FF000000"/>
        <rFont val="Arial"/>
        <family val="2"/>
      </rPr>
      <t>Classification</t>
    </r>
    <r>
      <rPr>
        <sz val="6"/>
        <color rgb="FF000000"/>
        <rFont val="Arial"/>
        <family val="2"/>
      </rPr>
      <t xml:space="preserve"> of </t>
    </r>
    <r>
      <rPr>
        <sz val="6"/>
        <color indexed="8"/>
        <rFont val="Arial"/>
        <family val="2"/>
      </rPr>
      <t xml:space="preserve">the Block shape factor:  </t>
    </r>
    <r>
      <rPr>
        <sz val="7"/>
        <color rgb="FF000000"/>
        <rFont val="Symbol"/>
        <family val="1"/>
        <charset val="2"/>
      </rPr>
      <t>b</t>
    </r>
    <r>
      <rPr>
        <sz val="6"/>
        <color indexed="8"/>
        <rFont val="Arial"/>
        <family val="2"/>
      </rPr>
      <t xml:space="preserve"> = 27 - 30 for cubical blocks,</t>
    </r>
    <r>
      <rPr>
        <sz val="6"/>
        <color rgb="FF000000"/>
        <rFont val="Arial"/>
        <family val="2"/>
      </rPr>
      <t xml:space="preserve"> </t>
    </r>
    <r>
      <rPr>
        <sz val="7"/>
        <color rgb="FF000000"/>
        <rFont val="Symbol"/>
        <family val="1"/>
        <charset val="2"/>
      </rPr>
      <t xml:space="preserve">b </t>
    </r>
    <r>
      <rPr>
        <sz val="6"/>
        <color indexed="8"/>
        <rFont val="Arial"/>
        <family val="2"/>
      </rPr>
      <t>= 30 - 38 for slightly long and/or flat blocks</t>
    </r>
  </si>
  <si>
    <t>Principle of construction of RRS (From NGI: "Using the Q-system", 2013    https://www.ngi.no/eng/Publications-and-library/Books/Q-system)</t>
  </si>
  <si>
    <r>
      <t>Better use chart for 'Support capacity', when Min. support capacity P</t>
    </r>
    <r>
      <rPr>
        <vertAlign val="subscript"/>
        <sz val="8"/>
        <rFont val="Calibri"/>
        <family val="2"/>
        <scheme val="minor"/>
      </rPr>
      <t>i</t>
    </r>
    <r>
      <rPr>
        <sz val="8"/>
        <rFont val="Calibri"/>
        <family val="2"/>
        <scheme val="minor"/>
      </rPr>
      <t xml:space="preserve"> &gt;</t>
    </r>
  </si>
  <si>
    <r>
      <t xml:space="preserve">Table II. Excavation type. Input to RMi system </t>
    </r>
    <r>
      <rPr>
        <sz val="8"/>
        <rFont val="Calibri"/>
        <family val="2"/>
        <scheme val="minor"/>
      </rPr>
      <t xml:space="preserve"> </t>
    </r>
    <r>
      <rPr>
        <sz val="7"/>
        <rFont val="Calibri"/>
        <family val="2"/>
        <scheme val="minor"/>
      </rPr>
      <t>(cell K65)</t>
    </r>
  </si>
  <si>
    <r>
      <t xml:space="preserve"> Table I.  ESR. Input to Q system </t>
    </r>
    <r>
      <rPr>
        <sz val="7"/>
        <color rgb="FF000000"/>
        <rFont val="Calibri"/>
        <family val="2"/>
        <scheme val="minor"/>
      </rPr>
      <t xml:space="preserve"> (cell H65)</t>
    </r>
  </si>
  <si>
    <r>
      <rPr>
        <b/>
        <sz val="8"/>
        <color rgb="FF000000"/>
        <rFont val="Calibri"/>
        <family val="2"/>
        <scheme val="minor"/>
      </rPr>
      <t xml:space="preserve">Table III.  Information on RRS </t>
    </r>
    <r>
      <rPr>
        <sz val="7"/>
        <color rgb="FF000000"/>
        <rFont val="Calibri"/>
        <family val="2"/>
        <scheme val="minor"/>
      </rPr>
      <t>in Q system</t>
    </r>
  </si>
  <si>
    <t xml:space="preserve">      E S T I M A T E D    R O C K   S U P P O R T</t>
  </si>
  <si>
    <t>for tunnel span &gt; 10 m</t>
  </si>
  <si>
    <t>Input for jointed rockmasses</t>
  </si>
  <si>
    <t xml:space="preserve"> Uniaxial compressive </t>
  </si>
  <si>
    <t>3 sets + random</t>
  </si>
  <si>
    <t xml:space="preserve"> *) = long and/or flat blocks</t>
  </si>
  <si>
    <t>MEASUREMENTS of main joint sets</t>
  </si>
  <si>
    <r>
      <t xml:space="preserve">Tunnel orientation </t>
    </r>
    <r>
      <rPr>
        <sz val="7"/>
        <rFont val="Calibri"/>
        <family val="2"/>
        <scheme val="minor"/>
      </rPr>
      <t>N(</t>
    </r>
    <r>
      <rPr>
        <vertAlign val="superscript"/>
        <sz val="7"/>
        <rFont val="Calibri"/>
        <family val="2"/>
        <scheme val="minor"/>
      </rPr>
      <t>o</t>
    </r>
    <r>
      <rPr>
        <sz val="7"/>
        <rFont val="Calibri"/>
        <family val="2"/>
        <scheme val="minor"/>
      </rPr>
      <t>):</t>
    </r>
    <r>
      <rPr>
        <b/>
        <sz val="7"/>
        <rFont val="Calibri"/>
        <family val="2"/>
        <scheme val="minor"/>
      </rPr>
      <t xml:space="preserve"> </t>
    </r>
  </si>
  <si>
    <r>
      <t xml:space="preserve">Size of observation area </t>
    </r>
    <r>
      <rPr>
        <sz val="7"/>
        <rFont val="Calibri"/>
        <family val="2"/>
        <scheme val="minor"/>
      </rPr>
      <t xml:space="preserve"> (m</t>
    </r>
    <r>
      <rPr>
        <vertAlign val="superscript"/>
        <sz val="7"/>
        <rFont val="Calibri"/>
        <family val="2"/>
        <scheme val="minor"/>
      </rPr>
      <t>2</t>
    </r>
    <r>
      <rPr>
        <sz val="7"/>
        <rFont val="Calibri"/>
        <family val="2"/>
        <scheme val="minor"/>
      </rPr>
      <t>):</t>
    </r>
  </si>
  <si>
    <t>ROCKMASS OBSERVATIONS   TUNNEL SUPPORT ESTIMATE</t>
  </si>
  <si>
    <t>How to start using the 'INPUT and RESULTS' spreadsheet</t>
  </si>
  <si>
    <t>Excellent</t>
  </si>
  <si>
    <t>75 - 90</t>
  </si>
  <si>
    <t>90 - 100</t>
  </si>
  <si>
    <r>
      <t>&lt; 0.3 dm</t>
    </r>
    <r>
      <rPr>
        <vertAlign val="superscript"/>
        <sz val="6"/>
        <rFont val="Calibri"/>
        <family val="2"/>
        <scheme val="minor"/>
      </rPr>
      <t>3</t>
    </r>
  </si>
  <si>
    <r>
      <t>0.3 - 1 dm</t>
    </r>
    <r>
      <rPr>
        <vertAlign val="superscript"/>
        <sz val="6"/>
        <rFont val="Calibri"/>
        <family val="2"/>
        <scheme val="minor"/>
      </rPr>
      <t>3</t>
    </r>
  </si>
  <si>
    <r>
      <t>3 - 15 dm</t>
    </r>
    <r>
      <rPr>
        <vertAlign val="superscript"/>
        <sz val="6"/>
        <rFont val="Calibri"/>
        <family val="2"/>
        <scheme val="minor"/>
      </rPr>
      <t>3</t>
    </r>
  </si>
  <si>
    <r>
      <t>15 - 70 dm</t>
    </r>
    <r>
      <rPr>
        <vertAlign val="superscript"/>
        <sz val="6"/>
        <rFont val="Calibri"/>
        <family val="2"/>
        <scheme val="minor"/>
      </rPr>
      <t>3</t>
    </r>
  </si>
  <si>
    <r>
      <t>70 - 500 dm</t>
    </r>
    <r>
      <rPr>
        <vertAlign val="superscript"/>
        <sz val="6"/>
        <rFont val="Calibri"/>
        <family val="2"/>
        <scheme val="minor"/>
      </rPr>
      <t>3</t>
    </r>
  </si>
  <si>
    <t>&gt; 40</t>
  </si>
  <si>
    <t>40 - 34</t>
  </si>
  <si>
    <t>34 - 24</t>
  </si>
  <si>
    <t>24 - 14</t>
  </si>
  <si>
    <t>14 - 8</t>
  </si>
  <si>
    <t>8 - 4</t>
  </si>
  <si>
    <r>
      <rPr>
        <b/>
        <sz val="7"/>
        <rFont val="Arial"/>
        <family val="2"/>
      </rPr>
      <t>Vb</t>
    </r>
    <r>
      <rPr>
        <sz val="7"/>
        <rFont val="Arial"/>
        <family val="2"/>
      </rPr>
      <t xml:space="preserve"> (in m</t>
    </r>
    <r>
      <rPr>
        <vertAlign val="superscript"/>
        <sz val="7"/>
        <rFont val="Arial"/>
        <family val="2"/>
      </rPr>
      <t>3</t>
    </r>
    <r>
      <rPr>
        <sz val="7"/>
        <rFont val="Arial"/>
        <family val="2"/>
      </rPr>
      <t>) =</t>
    </r>
  </si>
  <si>
    <t xml:space="preserve"> 0 - 10</t>
  </si>
  <si>
    <r>
      <t>Low stress level / poor interlocking</t>
    </r>
    <r>
      <rPr>
        <vertAlign val="superscript"/>
        <sz val="7"/>
        <rFont val="Arial"/>
        <family val="2"/>
      </rPr>
      <t>1)</t>
    </r>
  </si>
  <si>
    <t>Outside RMi limit</t>
  </si>
  <si>
    <t>Groundwater             condition in zone</t>
  </si>
  <si>
    <t>Tight structure</t>
  </si>
  <si>
    <t>Disturbed / open</t>
  </si>
  <si>
    <t>Folded / faulted with angular blocks</t>
  </si>
  <si>
    <t>Poorly interlocked</t>
  </si>
  <si>
    <t>Broken with angular and rounded blocks</t>
  </si>
  <si>
    <t>Good interlocking</t>
  </si>
  <si>
    <t xml:space="preserve">   f</t>
  </si>
  <si>
    <r>
      <rPr>
        <sz val="9"/>
        <color theme="0" tint="-0.249977111117893"/>
        <rFont val="Arial"/>
        <family val="2"/>
      </rPr>
      <t>f</t>
    </r>
    <r>
      <rPr>
        <vertAlign val="subscript"/>
        <sz val="9"/>
        <color theme="0" tint="-0.249977111117893"/>
        <rFont val="Symbol"/>
        <family val="1"/>
        <charset val="2"/>
      </rPr>
      <t>s</t>
    </r>
    <r>
      <rPr>
        <sz val="9"/>
        <color theme="0" tint="-0.249977111117893"/>
        <rFont val="Arial"/>
        <family val="2"/>
      </rPr>
      <t xml:space="preserve"> </t>
    </r>
    <r>
      <rPr>
        <sz val="8"/>
        <color theme="0" tint="-0.249977111117893"/>
        <rFont val="Arial"/>
        <family val="2"/>
      </rPr>
      <t>=</t>
    </r>
  </si>
  <si>
    <t>Interlocking in zone</t>
  </si>
  <si>
    <t xml:space="preserve"> Swelling rocks are not included in RMi system</t>
  </si>
  <si>
    <t>Description</t>
  </si>
  <si>
    <t>not included</t>
  </si>
  <si>
    <r>
      <t xml:space="preserve">Stresses below rock mass strength                   </t>
    </r>
    <r>
      <rPr>
        <sz val="8"/>
        <rFont val="Arial"/>
        <family val="2"/>
      </rPr>
      <t xml:space="preserve">     (</t>
    </r>
    <r>
      <rPr>
        <sz val="8"/>
        <rFont val="Symbol"/>
        <family val="1"/>
        <charset val="2"/>
      </rPr>
      <t>s</t>
    </r>
    <r>
      <rPr>
        <vertAlign val="subscript"/>
        <sz val="8"/>
        <rFont val="Symbol"/>
        <family val="1"/>
        <charset val="2"/>
      </rPr>
      <t>q</t>
    </r>
    <r>
      <rPr>
        <sz val="8"/>
        <rFont val="Symbol"/>
        <family val="1"/>
        <charset val="2"/>
      </rPr>
      <t xml:space="preserve"> </t>
    </r>
    <r>
      <rPr>
        <sz val="8"/>
        <rFont val="Arial"/>
        <family val="2"/>
      </rPr>
      <t xml:space="preserve">&lt; </t>
    </r>
    <r>
      <rPr>
        <sz val="8"/>
        <rFont val="Symbol"/>
        <family val="1"/>
        <charset val="2"/>
      </rPr>
      <t>s</t>
    </r>
    <r>
      <rPr>
        <vertAlign val="subscript"/>
        <sz val="8"/>
        <rFont val="Arial"/>
        <family val="2"/>
      </rPr>
      <t>cm</t>
    </r>
    <r>
      <rPr>
        <sz val="8"/>
        <rFont val="Arial"/>
        <family val="2"/>
      </rPr>
      <t>)</t>
    </r>
  </si>
  <si>
    <t>open structure</t>
  </si>
  <si>
    <t>Very low stress level (in portals / near surface)</t>
  </si>
  <si>
    <t>NOTE: Interlocking has been introduced here, with rating values based on its effects presented in the GSI system.</t>
  </si>
  <si>
    <t>INTERLOCKING IN WEAKNESS (FAULT) ZONE</t>
  </si>
  <si>
    <r>
      <rPr>
        <i/>
        <vertAlign val="superscript"/>
        <sz val="7"/>
        <rFont val="Arial"/>
        <family val="2"/>
      </rPr>
      <t>1)</t>
    </r>
    <r>
      <rPr>
        <i/>
        <sz val="7"/>
        <rFont val="Arial"/>
        <family val="2"/>
      </rPr>
      <t xml:space="preserve"> See Table </t>
    </r>
    <r>
      <rPr>
        <i/>
        <sz val="7"/>
        <rFont val="Times New Roman"/>
        <family val="1"/>
      </rPr>
      <t>I</t>
    </r>
  </si>
  <si>
    <t>Input for weakness zones can be made separately or additional to the input for jointed, adjacent rockmasses</t>
  </si>
  <si>
    <r>
      <t>IL</t>
    </r>
    <r>
      <rPr>
        <vertAlign val="subscript"/>
        <sz val="7"/>
        <rFont val="Arial"/>
        <family val="2"/>
      </rPr>
      <t>z</t>
    </r>
    <r>
      <rPr>
        <sz val="7"/>
        <rFont val="Arial"/>
        <family val="2"/>
      </rPr>
      <t xml:space="preserve"> =</t>
    </r>
  </si>
  <si>
    <r>
      <t xml:space="preserve">  Interlocking in       weak zone    </t>
    </r>
    <r>
      <rPr>
        <sz val="7"/>
        <rFont val="Arial"/>
        <family val="2"/>
      </rPr>
      <t>(IL</t>
    </r>
    <r>
      <rPr>
        <vertAlign val="subscript"/>
        <sz val="7"/>
        <rFont val="Arial"/>
        <family val="2"/>
      </rPr>
      <t>z</t>
    </r>
    <r>
      <rPr>
        <sz val="7"/>
        <rFont val="Arial"/>
        <family val="2"/>
      </rPr>
      <t>)</t>
    </r>
    <r>
      <rPr>
        <b/>
        <sz val="8"/>
        <rFont val="Arial"/>
        <family val="2"/>
      </rPr>
      <t xml:space="preserve">     </t>
    </r>
  </si>
  <si>
    <t>version4</t>
  </si>
  <si>
    <t>Table I</t>
  </si>
  <si>
    <t>Blue letters and numbers</t>
  </si>
  <si>
    <t>poor interlocking</t>
  </si>
  <si>
    <r>
      <t>Joint spacing</t>
    </r>
    <r>
      <rPr>
        <vertAlign val="superscript"/>
        <sz val="8"/>
        <color indexed="8"/>
        <rFont val="Arial"/>
        <family val="2"/>
      </rPr>
      <t xml:space="preserve">1) </t>
    </r>
    <r>
      <rPr>
        <b/>
        <sz val="8"/>
        <color indexed="8"/>
        <rFont val="Arial"/>
        <family val="2"/>
      </rPr>
      <t xml:space="preserve"> (S)              </t>
    </r>
    <r>
      <rPr>
        <b/>
        <sz val="7"/>
        <color rgb="FF000000"/>
        <rFont val="Arial"/>
        <family val="2"/>
      </rPr>
      <t xml:space="preserve"> </t>
    </r>
    <r>
      <rPr>
        <sz val="7"/>
        <color rgb="FF000000"/>
        <rFont val="Arial"/>
        <family val="2"/>
      </rPr>
      <t>average value</t>
    </r>
  </si>
  <si>
    <t>Gc = Ground quality in RMi system = RMi x C x SL/GW</t>
  </si>
  <si>
    <t>The degree of weathering is used as information on the rock condition. Rocks in or near the terrain surface show often some effect of weathering</t>
  </si>
  <si>
    <t>HELP AND COMMENTS</t>
  </si>
  <si>
    <r>
      <t xml:space="preserve">(for </t>
    </r>
    <r>
      <rPr>
        <sz val="7"/>
        <rFont val="Calibri"/>
        <family val="2"/>
        <scheme val="minor"/>
      </rPr>
      <t>roof</t>
    </r>
    <r>
      <rPr>
        <sz val="6"/>
        <rFont val="Calibri"/>
        <family val="2"/>
        <scheme val="minor"/>
      </rPr>
      <t>)</t>
    </r>
  </si>
  <si>
    <t>Cubical</t>
  </si>
  <si>
    <t>Slightly long or flat</t>
  </si>
  <si>
    <t>Moderately long or flat</t>
  </si>
  <si>
    <t>Very long or flat</t>
  </si>
  <si>
    <t>Extremely long or flat</t>
  </si>
  <si>
    <t xml:space="preserve">    in TUNNEL</t>
  </si>
  <si>
    <t>Special measures:</t>
  </si>
  <si>
    <r>
      <rPr>
        <i/>
        <sz val="7"/>
        <color rgb="FF000000"/>
        <rFont val="Arial Narrow"/>
        <family val="2"/>
      </rPr>
      <t>special designed extra support</t>
    </r>
    <r>
      <rPr>
        <i/>
        <sz val="6"/>
        <color rgb="FF000000"/>
        <rFont val="Arial Narrow"/>
        <family val="2"/>
      </rPr>
      <t xml:space="preserve">  (not given here)</t>
    </r>
  </si>
  <si>
    <t>6 - 8</t>
  </si>
  <si>
    <r>
      <t>JOINTED ROCKMASS parameters</t>
    </r>
    <r>
      <rPr>
        <b/>
        <sz val="7"/>
        <color rgb="FF000000"/>
        <rFont val="Arial"/>
        <family val="2"/>
      </rPr>
      <t xml:space="preserve">  </t>
    </r>
  </si>
  <si>
    <t xml:space="preserve">  S1 and S3 = smallest and largest joint set spacing, or smallest and largest dimension of the block. Valid for S1 &lt; 10 x S3</t>
  </si>
  <si>
    <r>
      <rPr>
        <b/>
        <sz val="7"/>
        <color rgb="FF000000"/>
        <rFont val="Arial"/>
        <family val="2"/>
      </rPr>
      <t>RQD</t>
    </r>
    <r>
      <rPr>
        <sz val="7"/>
        <color indexed="8"/>
        <rFont val="Arial"/>
        <family val="2"/>
      </rPr>
      <t xml:space="preserve">  </t>
    </r>
    <r>
      <rPr>
        <sz val="7"/>
        <color rgb="FF000000"/>
        <rFont val="Calibri"/>
        <family val="2"/>
        <scheme val="minor"/>
      </rPr>
      <t>→</t>
    </r>
  </si>
  <si>
    <r>
      <rPr>
        <b/>
        <sz val="8"/>
        <color rgb="FF0000CC"/>
        <rFont val="Calibri"/>
        <family val="2"/>
        <scheme val="minor"/>
      </rPr>
      <t>Vb</t>
    </r>
    <r>
      <rPr>
        <sz val="7"/>
        <color rgb="FF0000CC"/>
        <rFont val="Calibri"/>
        <family val="2"/>
        <scheme val="minor"/>
      </rPr>
      <t xml:space="preserve"> </t>
    </r>
    <r>
      <rPr>
        <sz val="6"/>
        <color rgb="FF0000CC"/>
        <rFont val="Calibri"/>
        <family val="2"/>
        <scheme val="minor"/>
      </rPr>
      <t>(in dm</t>
    </r>
    <r>
      <rPr>
        <vertAlign val="superscript"/>
        <sz val="6"/>
        <color rgb="FF0000CC"/>
        <rFont val="Calibri"/>
        <family val="2"/>
        <scheme val="minor"/>
      </rPr>
      <t>3</t>
    </r>
    <r>
      <rPr>
        <sz val="6"/>
        <color rgb="FF0000CC"/>
        <rFont val="Calibri"/>
        <family val="2"/>
        <scheme val="minor"/>
      </rPr>
      <t xml:space="preserve">) </t>
    </r>
    <r>
      <rPr>
        <sz val="7"/>
        <color rgb="FF0000CC"/>
        <rFont val="Calibri"/>
        <family val="2"/>
        <scheme val="minor"/>
      </rPr>
      <t>→</t>
    </r>
    <r>
      <rPr>
        <sz val="6"/>
        <color rgb="FF0000CC"/>
        <rFont val="Calibri"/>
        <family val="2"/>
        <scheme val="minor"/>
      </rPr>
      <t xml:space="preserve">  </t>
    </r>
  </si>
  <si>
    <r>
      <rPr>
        <b/>
        <sz val="7"/>
        <color rgb="FFFF0000"/>
        <rFont val="Arial"/>
        <family val="2"/>
      </rPr>
      <t>Jv</t>
    </r>
    <r>
      <rPr>
        <sz val="7"/>
        <color rgb="FFFF0000"/>
        <rFont val="Arial"/>
        <family val="2"/>
      </rPr>
      <t xml:space="preserve"> </t>
    </r>
    <r>
      <rPr>
        <sz val="7"/>
        <color rgb="FFFF0000"/>
        <rFont val="Calibri"/>
        <family val="2"/>
        <scheme val="minor"/>
      </rPr>
      <t xml:space="preserve"> →</t>
    </r>
  </si>
  <si>
    <r>
      <rPr>
        <b/>
        <sz val="7"/>
        <color rgb="FF000000"/>
        <rFont val="Symbol"/>
        <family val="1"/>
        <charset val="2"/>
      </rPr>
      <t>b</t>
    </r>
    <r>
      <rPr>
        <vertAlign val="superscript"/>
        <sz val="7"/>
        <color rgb="FF000000"/>
        <rFont val="Symbol"/>
        <family val="1"/>
        <charset val="2"/>
      </rPr>
      <t>*)</t>
    </r>
    <r>
      <rPr>
        <sz val="7"/>
        <color rgb="FF000000"/>
        <rFont val="Symbol"/>
        <family val="1"/>
        <charset val="2"/>
      </rPr>
      <t xml:space="preserve"> </t>
    </r>
    <r>
      <rPr>
        <sz val="7"/>
        <color rgb="FF000000"/>
        <rFont val="Calibri"/>
        <family val="2"/>
        <scheme val="minor"/>
      </rPr>
      <t xml:space="preserve"> →</t>
    </r>
  </si>
  <si>
    <r>
      <rPr>
        <sz val="7"/>
        <color rgb="FF000000"/>
        <rFont val="Calibri"/>
        <family val="2"/>
        <scheme val="minor"/>
      </rPr>
      <t xml:space="preserve">  For more information on</t>
    </r>
    <r>
      <rPr>
        <sz val="7"/>
        <color indexed="8"/>
        <rFont val="Arial"/>
        <family val="1"/>
        <charset val="2"/>
      </rPr>
      <t xml:space="preserve"> </t>
    </r>
    <r>
      <rPr>
        <sz val="7"/>
        <color rgb="FF000000"/>
        <rFont val="Symbol"/>
        <family val="1"/>
        <charset val="2"/>
      </rPr>
      <t>b</t>
    </r>
    <r>
      <rPr>
        <sz val="7"/>
        <color indexed="8"/>
        <rFont val="Arial"/>
        <family val="2"/>
        <charset val="2"/>
      </rPr>
      <t>:</t>
    </r>
  </si>
  <si>
    <t xml:space="preserve"> Gc = ground condition factor,  Sr = size ratio (in the RMi system)</t>
  </si>
  <si>
    <r>
      <t>dip direction (</t>
    </r>
    <r>
      <rPr>
        <vertAlign val="superscript"/>
        <sz val="6"/>
        <color rgb="FF000000"/>
        <rFont val="Arial"/>
        <family val="2"/>
      </rPr>
      <t>o</t>
    </r>
    <r>
      <rPr>
        <sz val="6"/>
        <color indexed="8"/>
        <rFont val="Arial"/>
        <family val="2"/>
      </rPr>
      <t>)</t>
    </r>
  </si>
  <si>
    <r>
      <t>dip (</t>
    </r>
    <r>
      <rPr>
        <vertAlign val="superscript"/>
        <sz val="6"/>
        <color rgb="FF000000"/>
        <rFont val="Arial"/>
        <family val="2"/>
      </rPr>
      <t xml:space="preserve"> o </t>
    </r>
    <r>
      <rPr>
        <sz val="6"/>
        <color indexed="8"/>
        <rFont val="Arial"/>
        <family val="2"/>
      </rPr>
      <t xml:space="preserve">)   </t>
    </r>
    <r>
      <rPr>
        <sz val="5"/>
        <color rgb="FF000000"/>
        <rFont val="Arial"/>
        <family val="2"/>
      </rPr>
      <t xml:space="preserve"> and/or</t>
    </r>
    <r>
      <rPr>
        <sz val="6"/>
        <color indexed="8"/>
        <rFont val="Arial"/>
        <family val="2"/>
      </rPr>
      <t xml:space="preserve">  </t>
    </r>
  </si>
  <si>
    <r>
      <rPr>
        <b/>
        <sz val="7"/>
        <rFont val="Arial"/>
        <family val="2"/>
      </rPr>
      <t xml:space="preserve">            Strike / dip </t>
    </r>
    <r>
      <rPr>
        <sz val="7"/>
        <rFont val="Arial"/>
        <family val="2"/>
      </rPr>
      <t>(</t>
    </r>
    <r>
      <rPr>
        <vertAlign val="superscript"/>
        <sz val="7"/>
        <rFont val="Arial"/>
        <family val="2"/>
      </rPr>
      <t xml:space="preserve"> o </t>
    </r>
    <r>
      <rPr>
        <sz val="7"/>
        <rFont val="Arial"/>
        <family val="2"/>
      </rPr>
      <t xml:space="preserve">)  </t>
    </r>
    <r>
      <rPr>
        <b/>
        <sz val="7"/>
        <rFont val="Arial"/>
        <family val="2"/>
      </rPr>
      <t xml:space="preserve"> </t>
    </r>
    <r>
      <rPr>
        <b/>
        <sz val="7"/>
        <rFont val="Calibri"/>
        <family val="2"/>
      </rPr>
      <t>=</t>
    </r>
    <r>
      <rPr>
        <b/>
        <sz val="7"/>
        <rFont val="Arial"/>
        <family val="2"/>
      </rPr>
      <t xml:space="preserve">  </t>
    </r>
    <r>
      <rPr>
        <sz val="6"/>
        <rFont val="Arial"/>
        <family val="2"/>
      </rPr>
      <t>of the joint set</t>
    </r>
    <r>
      <rPr>
        <i/>
        <sz val="6"/>
        <color rgb="FF0000CC"/>
        <rFont val="Arial"/>
        <family val="2"/>
      </rPr>
      <t xml:space="preserve"> </t>
    </r>
    <r>
      <rPr>
        <sz val="6"/>
        <color rgb="FF3333FF"/>
        <rFont val="Arial"/>
        <family val="2"/>
      </rPr>
      <t>related to tunnel</t>
    </r>
  </si>
  <si>
    <t>Approx. size of fragmenst or blocks</t>
  </si>
  <si>
    <r>
      <t>Block or fragment diam. (Db</t>
    </r>
    <r>
      <rPr>
        <vertAlign val="subscript"/>
        <sz val="8"/>
        <color theme="0" tint="-0.249977111117893"/>
        <rFont val="Calibri"/>
        <family val="2"/>
        <scheme val="minor"/>
      </rPr>
      <t>z</t>
    </r>
    <r>
      <rPr>
        <sz val="8"/>
        <color theme="0" tint="-0.249977111117893"/>
        <rFont val="Calibri"/>
        <family val="2"/>
        <scheme val="minor"/>
      </rPr>
      <t>)</t>
    </r>
  </si>
  <si>
    <r>
      <t xml:space="preserve"> *) </t>
    </r>
    <r>
      <rPr>
        <i/>
        <sz val="7"/>
        <rFont val="Arial"/>
        <family val="2"/>
      </rPr>
      <t>Most weakness zones should be especially evaluated, including engineering judgement</t>
    </r>
  </si>
  <si>
    <r>
      <rPr>
        <i/>
        <sz val="9"/>
        <rFont val="Arial"/>
        <family val="2"/>
      </rPr>
      <t xml:space="preserve">Common values  are  indicated with </t>
    </r>
    <r>
      <rPr>
        <b/>
        <i/>
        <sz val="10"/>
        <rFont val="Arial"/>
        <family val="2"/>
      </rPr>
      <t>bold</t>
    </r>
    <r>
      <rPr>
        <i/>
        <sz val="9"/>
        <rFont val="Arial"/>
        <family val="2"/>
      </rPr>
      <t xml:space="preserve"> numbers or letters</t>
    </r>
  </si>
  <si>
    <t>(no joints in soft filling)</t>
  </si>
  <si>
    <t>Mainly fresh joints</t>
  </si>
  <si>
    <t>Slightly altered joint walls</t>
  </si>
  <si>
    <t>Altered joint walls</t>
  </si>
  <si>
    <t>Clay coated joint walls</t>
  </si>
  <si>
    <t>Sandy joint filling</t>
  </si>
  <si>
    <t>Swelling clay</t>
  </si>
  <si>
    <t>Jr</t>
  </si>
  <si>
    <t>Ja</t>
  </si>
  <si>
    <t>jL</t>
  </si>
  <si>
    <t>Clayish joint filling</t>
  </si>
  <si>
    <r>
      <t xml:space="preserve">Joint conditions in the zone  </t>
    </r>
    <r>
      <rPr>
        <sz val="8"/>
        <rFont val="Arial"/>
        <family val="2"/>
      </rPr>
      <t xml:space="preserve"> (jC</t>
    </r>
    <r>
      <rPr>
        <vertAlign val="subscript"/>
        <sz val="8"/>
        <rFont val="Arial"/>
        <family val="2"/>
      </rPr>
      <t>z</t>
    </r>
    <r>
      <rPr>
        <sz val="8"/>
        <rFont val="Arial"/>
        <family val="2"/>
      </rPr>
      <t xml:space="preserve"> = jL</t>
    </r>
    <r>
      <rPr>
        <vertAlign val="subscript"/>
        <sz val="8"/>
        <rFont val="Arial"/>
        <family val="2"/>
      </rPr>
      <t>z</t>
    </r>
    <r>
      <rPr>
        <sz val="8"/>
        <rFont val="Arial"/>
        <family val="2"/>
      </rPr>
      <t xml:space="preserve"> x jR</t>
    </r>
    <r>
      <rPr>
        <vertAlign val="subscript"/>
        <sz val="8"/>
        <rFont val="Arial"/>
        <family val="2"/>
      </rPr>
      <t>z</t>
    </r>
    <r>
      <rPr>
        <sz val="8"/>
        <rFont val="Arial"/>
        <family val="2"/>
      </rPr>
      <t xml:space="preserve"> / jA</t>
    </r>
    <r>
      <rPr>
        <vertAlign val="subscript"/>
        <sz val="8"/>
        <rFont val="Arial"/>
        <family val="2"/>
      </rPr>
      <t>z</t>
    </r>
    <r>
      <rPr>
        <sz val="8"/>
        <rFont val="Arial"/>
        <family val="2"/>
      </rPr>
      <t>)</t>
    </r>
  </si>
  <si>
    <t>mainly fresh joints</t>
  </si>
  <si>
    <t>altered joint walls</t>
  </si>
  <si>
    <t>slightly altered joints</t>
  </si>
  <si>
    <t>clay coated joints</t>
  </si>
  <si>
    <t>clay coated walls</t>
  </si>
  <si>
    <t>sandy joint fillings</t>
  </si>
  <si>
    <t>clayish joint fillings</t>
  </si>
  <si>
    <t>v. unfavourable</t>
  </si>
  <si>
    <t>disturbed/open</t>
  </si>
  <si>
    <t>good interlock</t>
  </si>
  <si>
    <r>
      <rPr>
        <sz val="6"/>
        <rFont val="Arial"/>
        <family val="2"/>
      </rPr>
      <t>of the joint set</t>
    </r>
    <r>
      <rPr>
        <sz val="6"/>
        <color rgb="FF0000FF"/>
        <rFont val="Arial"/>
        <family val="2"/>
      </rPr>
      <t xml:space="preserve"> related to tunnel</t>
    </r>
  </si>
  <si>
    <t>Unknown composition of zone</t>
  </si>
  <si>
    <r>
      <t>NOTE 1: For type i, 'Zone filled with soft material', RMi</t>
    </r>
    <r>
      <rPr>
        <vertAlign val="subscript"/>
        <sz val="8"/>
        <color theme="0" tint="-0.249977111117893"/>
        <rFont val="Calibri"/>
        <family val="2"/>
        <scheme val="minor"/>
      </rPr>
      <t>z</t>
    </r>
    <r>
      <rPr>
        <sz val="8"/>
        <color theme="0" tint="-0.249977111117893"/>
        <rFont val="Calibri"/>
        <family val="2"/>
        <scheme val="minor"/>
      </rPr>
      <t xml:space="preserve"> ≈  UCS</t>
    </r>
    <r>
      <rPr>
        <vertAlign val="subscript"/>
        <sz val="8"/>
        <color theme="0" tint="-0.249977111117893"/>
        <rFont val="Calibri"/>
        <family val="2"/>
        <scheme val="minor"/>
      </rPr>
      <t>z</t>
    </r>
    <r>
      <rPr>
        <sz val="8"/>
        <color theme="0" tint="-0.249977111117893"/>
        <rFont val="Calibri"/>
        <family val="2"/>
        <scheme val="minor"/>
      </rPr>
      <t>*f</t>
    </r>
    <r>
      <rPr>
        <vertAlign val="subscript"/>
        <sz val="8"/>
        <color theme="0" tint="-0.249977111117893"/>
        <rFont val="Symbol"/>
        <family val="1"/>
        <charset val="2"/>
      </rPr>
      <t>s</t>
    </r>
  </si>
  <si>
    <r>
      <t>NOTE 2: For type i, 'Zone filled with soft material', an assumed minimum value Vb</t>
    </r>
    <r>
      <rPr>
        <vertAlign val="subscript"/>
        <sz val="8"/>
        <color theme="0" tint="-0.249977111117893"/>
        <rFont val="Calibri"/>
        <family val="2"/>
        <scheme val="minor"/>
      </rPr>
      <t>z</t>
    </r>
    <r>
      <rPr>
        <sz val="8"/>
        <color theme="0" tint="-0.249977111117893"/>
        <rFont val="Calibri"/>
        <family val="2"/>
        <scheme val="minor"/>
      </rPr>
      <t xml:space="preserve"> = 0.1 dm</t>
    </r>
    <r>
      <rPr>
        <vertAlign val="superscript"/>
        <sz val="8"/>
        <color theme="0" tint="-0.249977111117893"/>
        <rFont val="Calibri"/>
        <family val="2"/>
        <scheme val="minor"/>
      </rPr>
      <t>3</t>
    </r>
    <r>
      <rPr>
        <sz val="8"/>
        <color theme="0" tint="-0.249977111117893"/>
        <rFont val="Calibri"/>
        <family val="2"/>
        <scheme val="minor"/>
      </rPr>
      <t xml:space="preserve"> is used</t>
    </r>
  </si>
  <si>
    <t>Estimated Rock support</t>
  </si>
  <si>
    <t xml:space="preserve">Estimated Rock support </t>
  </si>
  <si>
    <t>Equations used</t>
  </si>
  <si>
    <r>
      <rPr>
        <sz val="6"/>
        <color rgb="FF000000"/>
        <rFont val="Symbol"/>
        <family val="1"/>
        <charset val="2"/>
      </rPr>
      <t xml:space="preserve"> b</t>
    </r>
    <r>
      <rPr>
        <sz val="6"/>
        <color indexed="8"/>
        <rFont val="Arial"/>
        <family val="2"/>
      </rPr>
      <t xml:space="preserve"> = 20+7(S1/S3)</t>
    </r>
  </si>
  <si>
    <r>
      <rPr>
        <vertAlign val="superscript"/>
        <sz val="6"/>
        <color rgb="FF000000"/>
        <rFont val="Calibri"/>
        <family val="2"/>
        <scheme val="minor"/>
      </rPr>
      <t xml:space="preserve"> *)</t>
    </r>
    <r>
      <rPr>
        <sz val="6"/>
        <color rgb="FF000000"/>
        <rFont val="Calibri"/>
        <family val="2"/>
        <scheme val="minor"/>
      </rPr>
      <t xml:space="preserve"> </t>
    </r>
    <r>
      <rPr>
        <sz val="6"/>
        <color rgb="FF000000"/>
        <rFont val="Symbol"/>
        <family val="1"/>
        <charset val="2"/>
      </rPr>
      <t>b</t>
    </r>
    <r>
      <rPr>
        <sz val="6"/>
        <color indexed="8"/>
        <rFont val="Calibri"/>
        <family val="2"/>
        <scheme val="minor"/>
      </rPr>
      <t xml:space="preserve"> =</t>
    </r>
    <r>
      <rPr>
        <sz val="6"/>
        <color rgb="FF000000"/>
        <rFont val="Calibri"/>
        <family val="2"/>
        <scheme val="minor"/>
      </rPr>
      <t xml:space="preserve"> the shape factor for blocks </t>
    </r>
  </si>
  <si>
    <t xml:space="preserve"> Size (thickness) of the weakness or fault zone</t>
  </si>
  <si>
    <r>
      <t>jC</t>
    </r>
    <r>
      <rPr>
        <vertAlign val="subscript"/>
        <sz val="7"/>
        <color rgb="FF000000"/>
        <rFont val="Arial"/>
        <family val="2"/>
      </rPr>
      <t>z</t>
    </r>
    <r>
      <rPr>
        <sz val="7"/>
        <color indexed="8"/>
        <rFont val="Arial"/>
        <family val="2"/>
      </rPr>
      <t xml:space="preserve"> </t>
    </r>
    <r>
      <rPr>
        <sz val="6"/>
        <color rgb="FF000000"/>
        <rFont val="Arial"/>
        <family val="2"/>
      </rPr>
      <t>or</t>
    </r>
    <r>
      <rPr>
        <sz val="7"/>
        <color indexed="8"/>
        <rFont val="Arial"/>
        <family val="2"/>
      </rPr>
      <t xml:space="preserve"> Jr</t>
    </r>
    <r>
      <rPr>
        <vertAlign val="subscript"/>
        <sz val="7"/>
        <color rgb="FF000000"/>
        <rFont val="Arial"/>
        <family val="2"/>
      </rPr>
      <t>z</t>
    </r>
    <r>
      <rPr>
        <sz val="7"/>
        <color indexed="8"/>
        <rFont val="Arial"/>
        <family val="2"/>
      </rPr>
      <t>/Ja</t>
    </r>
    <r>
      <rPr>
        <vertAlign val="subscript"/>
        <sz val="7"/>
        <color rgb="FF000000"/>
        <rFont val="Arial"/>
        <family val="2"/>
      </rPr>
      <t>z</t>
    </r>
    <r>
      <rPr>
        <sz val="7"/>
        <color indexed="8"/>
        <rFont val="Arial"/>
        <family val="2"/>
      </rPr>
      <t>=</t>
    </r>
  </si>
  <si>
    <t>Soil</t>
  </si>
  <si>
    <t>Silty and/or sandy materials</t>
  </si>
  <si>
    <t xml:space="preserve">Soft clay    </t>
  </si>
  <si>
    <t>Firm clay to stiff clay</t>
  </si>
  <si>
    <t>Stiff clay to hard clay</t>
  </si>
  <si>
    <t>ROCK and SOIL MATERIALS</t>
  </si>
  <si>
    <r>
      <t xml:space="preserve">Uniaxial compressive strength      </t>
    </r>
    <r>
      <rPr>
        <sz val="8"/>
        <rFont val="Arial"/>
        <family val="2"/>
      </rPr>
      <t xml:space="preserve">(UCS </t>
    </r>
    <r>
      <rPr>
        <sz val="6"/>
        <rFont val="Arial"/>
        <family val="2"/>
      </rPr>
      <t>o</t>
    </r>
    <r>
      <rPr>
        <sz val="8"/>
        <rFont val="Arial"/>
        <family val="2"/>
      </rPr>
      <t xml:space="preserve">r </t>
    </r>
    <r>
      <rPr>
        <sz val="8"/>
        <color indexed="8"/>
        <rFont val="Symbol"/>
        <family val="1"/>
        <charset val="2"/>
      </rPr>
      <t>s</t>
    </r>
    <r>
      <rPr>
        <vertAlign val="subscript"/>
        <sz val="8"/>
        <color indexed="8"/>
        <rFont val="Arial"/>
        <family val="2"/>
      </rPr>
      <t>c</t>
    </r>
    <r>
      <rPr>
        <sz val="8"/>
        <color indexed="8"/>
        <rFont val="Arial"/>
        <family val="2"/>
      </rPr>
      <t>)</t>
    </r>
    <r>
      <rPr>
        <b/>
        <sz val="8"/>
        <color indexed="8"/>
        <rFont val="Arial"/>
        <family val="2"/>
      </rPr>
      <t xml:space="preserve"> </t>
    </r>
  </si>
  <si>
    <r>
      <rPr>
        <sz val="8"/>
        <rFont val="Symbol"/>
        <family val="1"/>
        <charset val="2"/>
      </rPr>
      <t>s</t>
    </r>
    <r>
      <rPr>
        <vertAlign val="subscript"/>
        <sz val="8"/>
        <rFont val="Arial"/>
        <family val="2"/>
      </rPr>
      <t>c</t>
    </r>
  </si>
  <si>
    <t xml:space="preserve"> Mean size of crushed blocks in the zone</t>
  </si>
  <si>
    <t>tight structure</t>
  </si>
  <si>
    <t>poor interlock</t>
  </si>
  <si>
    <t xml:space="preserve"> strength of rock</t>
  </si>
  <si>
    <t>H2, H3</t>
  </si>
  <si>
    <r>
      <t xml:space="preserve">Orientation of zone </t>
    </r>
    <r>
      <rPr>
        <sz val="8"/>
        <rFont val="Arial"/>
        <family val="2"/>
      </rPr>
      <t xml:space="preserve">related to excavation </t>
    </r>
    <r>
      <rPr>
        <sz val="7"/>
        <rFont val="Arial"/>
        <family val="2"/>
      </rPr>
      <t>(H2 in roof; H3 in walls)</t>
    </r>
  </si>
  <si>
    <t>H4</t>
  </si>
  <si>
    <t>Table H</t>
  </si>
  <si>
    <t>Table  G</t>
  </si>
  <si>
    <t>Table E</t>
  </si>
  <si>
    <t>Table D</t>
  </si>
  <si>
    <t>Table C</t>
  </si>
  <si>
    <t>Table B</t>
  </si>
  <si>
    <t>Table A</t>
  </si>
  <si>
    <t>GROUNDWATER</t>
  </si>
  <si>
    <t xml:space="preserve">Condition </t>
  </si>
  <si>
    <t>of joints</t>
  </si>
  <si>
    <t>&lt; 4</t>
  </si>
  <si>
    <r>
      <t xml:space="preserve">Volumetric joint count (Jv)    </t>
    </r>
    <r>
      <rPr>
        <sz val="7"/>
        <color indexed="8"/>
        <rFont val="Arial"/>
        <family val="2"/>
      </rPr>
      <t xml:space="preserve">  Average value</t>
    </r>
  </si>
  <si>
    <t xml:space="preserve"> Strength of rock fragments or of filling material in the zone</t>
  </si>
  <si>
    <t>clay joint filling</t>
  </si>
  <si>
    <t>Jr =</t>
  </si>
  <si>
    <r>
      <t>from Vb</t>
    </r>
    <r>
      <rPr>
        <b/>
        <vertAlign val="subscript"/>
        <sz val="6"/>
        <color theme="0" tint="-0.249977111117893"/>
        <rFont val="Arial"/>
        <family val="2"/>
      </rPr>
      <t>z</t>
    </r>
    <r>
      <rPr>
        <b/>
        <sz val="6"/>
        <color theme="0" tint="-0.249977111117893"/>
        <rFont val="Arial"/>
        <family val="2"/>
      </rPr>
      <t>:</t>
    </r>
  </si>
  <si>
    <r>
      <t>SRF</t>
    </r>
    <r>
      <rPr>
        <vertAlign val="subscript"/>
        <sz val="7"/>
        <rFont val="Arial"/>
        <family val="2"/>
      </rPr>
      <t>z</t>
    </r>
    <r>
      <rPr>
        <sz val="7"/>
        <rFont val="Arial"/>
        <family val="2"/>
      </rPr>
      <t xml:space="preserve"> =</t>
    </r>
  </si>
  <si>
    <r>
      <t>Gc</t>
    </r>
    <r>
      <rPr>
        <sz val="6"/>
        <color rgb="FF000000"/>
        <rFont val="Arial"/>
        <family val="2"/>
      </rPr>
      <t>z</t>
    </r>
    <r>
      <rPr>
        <vertAlign val="subscript"/>
        <sz val="8"/>
        <color indexed="8"/>
        <rFont val="Arial"/>
        <family val="2"/>
      </rPr>
      <t>roof</t>
    </r>
    <r>
      <rPr>
        <b/>
        <sz val="8"/>
        <color indexed="8"/>
        <rFont val="Arial"/>
        <family val="2"/>
      </rPr>
      <t xml:space="preserve"> </t>
    </r>
    <r>
      <rPr>
        <sz val="8"/>
        <color indexed="8"/>
        <rFont val="Arial"/>
        <family val="2"/>
      </rPr>
      <t>=</t>
    </r>
  </si>
  <si>
    <r>
      <t>Gc</t>
    </r>
    <r>
      <rPr>
        <sz val="6"/>
        <rFont val="Arial"/>
        <family val="2"/>
      </rPr>
      <t>z</t>
    </r>
    <r>
      <rPr>
        <vertAlign val="subscript"/>
        <sz val="8"/>
        <rFont val="Arial"/>
        <family val="2"/>
      </rPr>
      <t>wall</t>
    </r>
    <r>
      <rPr>
        <sz val="8"/>
        <rFont val="Arial"/>
        <family val="2"/>
      </rPr>
      <t xml:space="preserve"> =</t>
    </r>
  </si>
  <si>
    <r>
      <t>Sr</t>
    </r>
    <r>
      <rPr>
        <b/>
        <sz val="6"/>
        <rFont val="Arial"/>
        <family val="2"/>
      </rPr>
      <t>z</t>
    </r>
    <r>
      <rPr>
        <vertAlign val="subscript"/>
        <sz val="8"/>
        <rFont val="Arial"/>
        <family val="2"/>
      </rPr>
      <t xml:space="preserve">roof </t>
    </r>
    <r>
      <rPr>
        <b/>
        <sz val="8"/>
        <rFont val="Arial"/>
        <family val="2"/>
      </rPr>
      <t>=</t>
    </r>
  </si>
  <si>
    <r>
      <t>Sr</t>
    </r>
    <r>
      <rPr>
        <sz val="6"/>
        <rFont val="Arial"/>
        <family val="2"/>
      </rPr>
      <t>z</t>
    </r>
    <r>
      <rPr>
        <vertAlign val="subscript"/>
        <sz val="8"/>
        <rFont val="Arial"/>
        <family val="2"/>
      </rPr>
      <t>wall</t>
    </r>
    <r>
      <rPr>
        <sz val="8"/>
        <rFont val="Arial"/>
        <family val="2"/>
      </rPr>
      <t xml:space="preserve"> =</t>
    </r>
  </si>
  <si>
    <t xml:space="preserve">  (ref. NGI, 2003, 2025)</t>
  </si>
  <si>
    <t>(ref. Palmstrom, 1995, 2000, 2026)</t>
  </si>
  <si>
    <r>
      <t>Q</t>
    </r>
    <r>
      <rPr>
        <sz val="6"/>
        <color rgb="FF000000"/>
        <rFont val="Arial"/>
        <family val="2"/>
      </rPr>
      <t>z</t>
    </r>
    <r>
      <rPr>
        <vertAlign val="subscript"/>
        <sz val="8"/>
        <color indexed="8"/>
        <rFont val="Arial"/>
        <family val="2"/>
      </rPr>
      <t>roof</t>
    </r>
    <r>
      <rPr>
        <b/>
        <sz val="8"/>
        <color indexed="8"/>
        <rFont val="Arial"/>
        <family val="2"/>
      </rPr>
      <t xml:space="preserve"> </t>
    </r>
    <r>
      <rPr>
        <sz val="8"/>
        <color indexed="8"/>
        <rFont val="Arial"/>
        <family val="2"/>
      </rPr>
      <t>=</t>
    </r>
  </si>
  <si>
    <t>NOTE 1:</t>
  </si>
  <si>
    <t>The more input given, the better is the calculated result.</t>
  </si>
  <si>
    <t>HELP and COMMENTS</t>
  </si>
  <si>
    <t>NOTE 2:</t>
  </si>
  <si>
    <t>You may better check the estimated rock support, using relevant  RMi  or  Q  rock</t>
  </si>
  <si>
    <t xml:space="preserve"> column for conditions used. Common values are also shown in the sheet 'Parameter tables'.</t>
  </si>
  <si>
    <r>
      <t>When input both of  DJ  and  SRF</t>
    </r>
    <r>
      <rPr>
        <vertAlign val="subscript"/>
        <sz val="8"/>
        <color rgb="FF0000FF"/>
        <rFont val="Arial"/>
        <family val="2"/>
      </rPr>
      <t>z</t>
    </r>
    <r>
      <rPr>
        <sz val="8"/>
        <color rgb="FF0000FF"/>
        <rFont val="Arial"/>
        <family val="2"/>
      </rPr>
      <t xml:space="preserve">  is given, the arching effect from the adjacent rockmass to a fault or weakness zone is included </t>
    </r>
  </si>
  <si>
    <t>in the ground quality estimates and in the estimated support. This is marked as weakness zone*) in the support estimate.</t>
  </si>
  <si>
    <t>NOTE 3:</t>
  </si>
  <si>
    <t xml:space="preserve">The rock support spreadsheet is only a help in the rock design process. It will not give the right answer for all types of rock masses </t>
  </si>
  <si>
    <t>and ground conditions. Try to understand the geological setting and the actual site conditions when selecting the input parameter ratings.</t>
  </si>
  <si>
    <r>
      <t xml:space="preserve">This spreadsheet applies </t>
    </r>
    <r>
      <rPr>
        <i/>
        <u/>
        <sz val="8"/>
        <color rgb="FF0000FF"/>
        <rFont val="Arial"/>
        <family val="2"/>
      </rPr>
      <t>common</t>
    </r>
    <r>
      <rPr>
        <i/>
        <sz val="8"/>
        <color rgb="FF0000FF"/>
        <rFont val="Arial"/>
        <family val="2"/>
      </rPr>
      <t xml:space="preserve"> values</t>
    </r>
    <r>
      <rPr>
        <sz val="8"/>
        <color rgb="FF0000FF"/>
        <rFont val="Arial"/>
        <family val="2"/>
      </rPr>
      <t xml:space="preserve"> for parameters where no input is given. The common values used are shown in the</t>
    </r>
  </si>
  <si>
    <t>Si 30/6 = Single layer of 6 rebars, 30 cm thick shotcrete</t>
  </si>
  <si>
    <r>
      <t xml:space="preserve"> Type of weakness (or fault) zone</t>
    </r>
    <r>
      <rPr>
        <b/>
        <sz val="6"/>
        <rFont val="Calibri"/>
        <family val="2"/>
        <scheme val="minor"/>
      </rPr>
      <t xml:space="preserve"> </t>
    </r>
    <r>
      <rPr>
        <sz val="6"/>
        <rFont val="Calibri"/>
        <family val="2"/>
        <scheme val="minor"/>
      </rPr>
      <t>(see figure)</t>
    </r>
  </si>
  <si>
    <r>
      <t xml:space="preserve">Orientation </t>
    </r>
    <r>
      <rPr>
        <sz val="8"/>
        <rFont val="Calibri"/>
        <family val="2"/>
        <scheme val="minor"/>
      </rPr>
      <t>of zone (</t>
    </r>
    <r>
      <rPr>
        <vertAlign val="superscript"/>
        <sz val="8"/>
        <rFont val="Calibri"/>
        <family val="2"/>
        <scheme val="minor"/>
      </rPr>
      <t>o</t>
    </r>
    <r>
      <rPr>
        <sz val="8"/>
        <rFont val="Calibri"/>
        <family val="2"/>
        <scheme val="minor"/>
      </rPr>
      <t>)</t>
    </r>
  </si>
  <si>
    <t>swelling clay filling</t>
  </si>
  <si>
    <t>For crushed weakness zones</t>
  </si>
  <si>
    <t>For zones with weak filling,</t>
  </si>
  <si>
    <t>is maximum thickness</t>
  </si>
  <si>
    <t xml:space="preserve">is assumed max. to be covered by the RMi system </t>
  </si>
  <si>
    <r>
      <t>Q</t>
    </r>
    <r>
      <rPr>
        <sz val="6"/>
        <rFont val="Arial"/>
        <family val="2"/>
      </rPr>
      <t>z</t>
    </r>
    <r>
      <rPr>
        <vertAlign val="subscript"/>
        <sz val="8"/>
        <rFont val="Arial"/>
        <family val="2"/>
      </rPr>
      <t>wall</t>
    </r>
    <r>
      <rPr>
        <sz val="8"/>
        <rFont val="Arial"/>
        <family val="2"/>
      </rPr>
      <t xml:space="preserve"> =</t>
    </r>
  </si>
  <si>
    <r>
      <t>Q</t>
    </r>
    <r>
      <rPr>
        <sz val="6"/>
        <color rgb="FF000000"/>
        <rFont val="Arial"/>
        <family val="2"/>
      </rPr>
      <t>z</t>
    </r>
    <r>
      <rPr>
        <sz val="8"/>
        <color indexed="8"/>
        <rFont val="Arial"/>
        <family val="2"/>
      </rPr>
      <t>c =</t>
    </r>
  </si>
  <si>
    <t>Weak zone:</t>
  </si>
  <si>
    <t>valid for circular and horse-shoe shape tunnels</t>
  </si>
  <si>
    <t>UCS</t>
  </si>
  <si>
    <r>
      <t>UCS rock</t>
    </r>
    <r>
      <rPr>
        <sz val="6"/>
        <color theme="1"/>
        <rFont val="Calibri"/>
        <family val="2"/>
        <scheme val="minor"/>
      </rPr>
      <t xml:space="preserve"> or</t>
    </r>
    <r>
      <rPr>
        <sz val="8"/>
        <color theme="1"/>
        <rFont val="Calibri"/>
        <family val="2"/>
        <scheme val="minor"/>
      </rPr>
      <t xml:space="preserve"> filling </t>
    </r>
  </si>
  <si>
    <r>
      <t>Vb</t>
    </r>
    <r>
      <rPr>
        <vertAlign val="subscript"/>
        <sz val="7"/>
        <color theme="0" tint="-0.249977111117893"/>
        <rFont val="Calibri"/>
        <family val="2"/>
        <scheme val="minor"/>
      </rPr>
      <t xml:space="preserve">z </t>
    </r>
    <r>
      <rPr>
        <sz val="7"/>
        <color theme="0" tint="-0.249977111117893"/>
        <rFont val="Calibri"/>
        <family val="2"/>
        <scheme val="minor"/>
      </rPr>
      <t>=</t>
    </r>
  </si>
  <si>
    <r>
      <t>dm</t>
    </r>
    <r>
      <rPr>
        <vertAlign val="superscript"/>
        <sz val="7"/>
        <color theme="0" tint="-0.249977111117893"/>
        <rFont val="Calibri"/>
        <family val="2"/>
        <scheme val="minor"/>
      </rPr>
      <t>3</t>
    </r>
    <r>
      <rPr>
        <sz val="7"/>
        <color theme="0" tint="-0.249977111117893"/>
        <rFont val="Calibri"/>
        <family val="2"/>
        <scheme val="minor"/>
      </rPr>
      <t xml:space="preserve">           =</t>
    </r>
  </si>
  <si>
    <r>
      <t>Db</t>
    </r>
    <r>
      <rPr>
        <vertAlign val="subscript"/>
        <sz val="7"/>
        <color theme="0" tint="-0.249977111117893"/>
        <rFont val="Calibri"/>
        <family val="2"/>
        <scheme val="minor"/>
      </rPr>
      <t>z</t>
    </r>
    <r>
      <rPr>
        <sz val="7"/>
        <color theme="0" tint="-0.249977111117893"/>
        <rFont val="Calibri"/>
        <family val="2"/>
        <scheme val="minor"/>
      </rPr>
      <t xml:space="preserve"> =</t>
    </r>
  </si>
  <si>
    <r>
      <t>Nj</t>
    </r>
    <r>
      <rPr>
        <vertAlign val="subscript"/>
        <sz val="7"/>
        <color theme="0" tint="-0.249977111117893"/>
        <rFont val="Calibri"/>
        <family val="2"/>
        <scheme val="minor"/>
      </rPr>
      <t>z</t>
    </r>
    <r>
      <rPr>
        <sz val="7"/>
        <color theme="0" tint="-0.249977111117893"/>
        <rFont val="Calibri"/>
        <family val="2"/>
        <scheme val="minor"/>
      </rPr>
      <t xml:space="preserve"> =</t>
    </r>
  </si>
  <si>
    <r>
      <t>jC</t>
    </r>
    <r>
      <rPr>
        <vertAlign val="subscript"/>
        <sz val="7"/>
        <color theme="0" tint="-0.249977111117893"/>
        <rFont val="Calibri"/>
        <family val="2"/>
        <scheme val="minor"/>
      </rPr>
      <t>z</t>
    </r>
    <r>
      <rPr>
        <sz val="7"/>
        <color theme="0" tint="-0.249977111117893"/>
        <rFont val="Calibri"/>
        <family val="2"/>
        <scheme val="minor"/>
      </rPr>
      <t xml:space="preserve"> =</t>
    </r>
  </si>
  <si>
    <r>
      <t>Co</t>
    </r>
    <r>
      <rPr>
        <vertAlign val="subscript"/>
        <sz val="8"/>
        <color theme="0" tint="-0.249977111117893"/>
        <rFont val="Calibri"/>
        <family val="2"/>
        <scheme val="minor"/>
      </rPr>
      <t>z</t>
    </r>
    <r>
      <rPr>
        <sz val="8"/>
        <color theme="0" tint="-0.249977111117893"/>
        <rFont val="Calibri"/>
        <family val="2"/>
        <scheme val="minor"/>
      </rPr>
      <t xml:space="preserve"> =</t>
    </r>
  </si>
  <si>
    <r>
      <t xml:space="preserve">Jw </t>
    </r>
    <r>
      <rPr>
        <sz val="6"/>
        <color theme="0" tint="-0.249977111117893"/>
        <rFont val="Calibri"/>
        <family val="2"/>
        <scheme val="minor"/>
      </rPr>
      <t>or</t>
    </r>
    <r>
      <rPr>
        <sz val="7"/>
        <color theme="0" tint="-0.249977111117893"/>
        <rFont val="Calibri"/>
        <family val="2"/>
        <scheme val="minor"/>
      </rPr>
      <t xml:space="preserve"> GW =</t>
    </r>
  </si>
  <si>
    <t xml:space="preserve">here </t>
  </si>
  <si>
    <t>(in the 'Parameter tables' sheet)</t>
  </si>
  <si>
    <t>Crushed zone, with clay seams</t>
  </si>
  <si>
    <t>See Table I →</t>
  </si>
  <si>
    <t xml:space="preserve">Please, read </t>
  </si>
  <si>
    <r>
      <t>&gt; 500 dm</t>
    </r>
    <r>
      <rPr>
        <vertAlign val="superscript"/>
        <sz val="6"/>
        <rFont val="Calibri"/>
        <family val="2"/>
        <scheme val="minor"/>
      </rPr>
      <t>3</t>
    </r>
  </si>
  <si>
    <t>for infomation, see cell X28</t>
  </si>
  <si>
    <t>27-33</t>
  </si>
  <si>
    <t>33-41</t>
  </si>
  <si>
    <t>41-62</t>
  </si>
  <si>
    <t>62-140</t>
  </si>
  <si>
    <t>&gt;140</t>
  </si>
  <si>
    <t>The RMi rock support chart for rock bursting ( for drill &amp; blast tunnels )</t>
  </si>
  <si>
    <t>Blue</t>
  </si>
  <si>
    <t>Blue cells are for input</t>
  </si>
  <si>
    <r>
      <t xml:space="preserve"> Stress level </t>
    </r>
    <r>
      <rPr>
        <sz val="8"/>
        <rFont val="Arial"/>
        <family val="2"/>
      </rPr>
      <t>(SL) or</t>
    </r>
    <r>
      <rPr>
        <b/>
        <sz val="8"/>
        <rFont val="Arial"/>
        <family val="2"/>
      </rPr>
      <t xml:space="preserve"> stress type</t>
    </r>
  </si>
  <si>
    <r>
      <t xml:space="preserve">Note 1: </t>
    </r>
    <r>
      <rPr>
        <b/>
        <sz val="8"/>
        <color rgb="FFFF0000"/>
        <rFont val="Calibri"/>
        <family val="2"/>
        <scheme val="minor"/>
      </rPr>
      <t>→</t>
    </r>
  </si>
  <si>
    <t>Start to insert the ratings of the parameters you have observed.  It is best to fill in all parameters, but you do not have to give input for all parameters.     See Note 1</t>
  </si>
  <si>
    <r>
      <t>SRF</t>
    </r>
    <r>
      <rPr>
        <vertAlign val="subscript"/>
        <sz val="7"/>
        <rFont val="Arial"/>
        <family val="2"/>
      </rPr>
      <t xml:space="preserve">s </t>
    </r>
    <r>
      <rPr>
        <sz val="7"/>
        <rFont val="Arial"/>
        <family val="2"/>
      </rPr>
      <t>=</t>
    </r>
  </si>
  <si>
    <t>UNIAXIAL COMPRESSIVE STRENGTH (MPa) OF SOME ROCKS AND SOILS</t>
  </si>
  <si>
    <t>Anhydrite</t>
  </si>
  <si>
    <t>Amphibolite</t>
  </si>
  <si>
    <t>Coal</t>
  </si>
  <si>
    <t>Amphibolitic gneiss</t>
  </si>
  <si>
    <t>Claystone</t>
  </si>
  <si>
    <t>Augen gneiss</t>
  </si>
  <si>
    <t>Conglomerate</t>
  </si>
  <si>
    <t>Black shale</t>
  </si>
  <si>
    <t>Chalk</t>
  </si>
  <si>
    <t>Garnet mica schist</t>
  </si>
  <si>
    <t>Dolomite</t>
  </si>
  <si>
    <t>Granite gneiss</t>
  </si>
  <si>
    <t>Greywacke</t>
  </si>
  <si>
    <t>Granulite</t>
  </si>
  <si>
    <t>Limestone</t>
  </si>
  <si>
    <t xml:space="preserve">Gneiss </t>
  </si>
  <si>
    <t xml:space="preserve">Mudstone   </t>
  </si>
  <si>
    <t>Gneiss granite</t>
  </si>
  <si>
    <t>Shale</t>
  </si>
  <si>
    <t>Greenschist</t>
  </si>
  <si>
    <t>Sandstone</t>
  </si>
  <si>
    <t>Greenstone</t>
  </si>
  <si>
    <t>Siltstone</t>
  </si>
  <si>
    <t>Marble</t>
  </si>
  <si>
    <t>Tuff</t>
  </si>
  <si>
    <t>Mica gneiss</t>
  </si>
  <si>
    <t xml:space="preserve">Mica quartzite </t>
  </si>
  <si>
    <t>Andesite</t>
  </si>
  <si>
    <t>Mica schist</t>
  </si>
  <si>
    <t>Anorthosite</t>
  </si>
  <si>
    <t>Mylonite</t>
  </si>
  <si>
    <t>Basalt</t>
  </si>
  <si>
    <t xml:space="preserve">Phyllite </t>
  </si>
  <si>
    <t>Diabase (dolerite)</t>
  </si>
  <si>
    <t xml:space="preserve">Quartz sandstone </t>
  </si>
  <si>
    <t>Diorite</t>
  </si>
  <si>
    <t>Quartzite</t>
  </si>
  <si>
    <t>Gabbro</t>
  </si>
  <si>
    <t xml:space="preserve">Quartzitic phyllite </t>
  </si>
  <si>
    <t>Granite</t>
  </si>
  <si>
    <t>Serpentinite</t>
  </si>
  <si>
    <t>Granodiorite</t>
  </si>
  <si>
    <t>Slate</t>
  </si>
  <si>
    <t>Monzonite</t>
  </si>
  <si>
    <t xml:space="preserve">Talc schist </t>
  </si>
  <si>
    <t>Nepheline syenite</t>
  </si>
  <si>
    <t>Norite</t>
  </si>
  <si>
    <t>Very soft clay</t>
  </si>
  <si>
    <t xml:space="preserve">Pegmatite   </t>
  </si>
  <si>
    <t>0.025 - 0.05</t>
  </si>
  <si>
    <t>Rhyolite</t>
  </si>
  <si>
    <t xml:space="preserve">Firm clay    </t>
  </si>
  <si>
    <t>0.05 - 0.1</t>
  </si>
  <si>
    <t>Syenite</t>
  </si>
  <si>
    <t>Stiff clay</t>
  </si>
  <si>
    <t>0.1 - 0.25</t>
  </si>
  <si>
    <t xml:space="preserve">Ultrabasic rock </t>
  </si>
  <si>
    <t xml:space="preserve">Very stiff clay </t>
  </si>
  <si>
    <t>0.25 - 0.5</t>
  </si>
  <si>
    <t>Hard clay</t>
  </si>
  <si>
    <t>&gt; 0.5</t>
  </si>
  <si>
    <t xml:space="preserve">Silt, sand </t>
  </si>
  <si>
    <t>0.0001 - 0.001</t>
  </si>
  <si>
    <t xml:space="preserve"> Sedimentary rocks</t>
  </si>
  <si>
    <t>strength (MPa</t>
  </si>
  <si>
    <t xml:space="preserve"> Metamorphic rocks</t>
  </si>
  <si>
    <t xml:space="preserve"> Igneous rocks</t>
  </si>
  <si>
    <t xml:space="preserve"> Soil materials</t>
  </si>
  <si>
    <r>
      <t xml:space="preserve"> The calculated values of RMR, Q and RMi and the Estimated rock support of the</t>
    </r>
    <r>
      <rPr>
        <b/>
        <i/>
        <u/>
        <sz val="11"/>
        <color rgb="FF0000FF"/>
        <rFont val="Arial"/>
        <family val="2"/>
      </rPr>
      <t xml:space="preserve"> jointed rockmass </t>
    </r>
  </si>
  <si>
    <r>
      <t xml:space="preserve">  By inserting 'x' in the Check box, the estimated rock support of  the </t>
    </r>
    <r>
      <rPr>
        <b/>
        <i/>
        <u/>
        <sz val="11"/>
        <color rgb="FF0000FF"/>
        <rFont val="Arial"/>
        <family val="2"/>
      </rPr>
      <t>weakness zone</t>
    </r>
    <r>
      <rPr>
        <b/>
        <i/>
        <sz val="11"/>
        <color rgb="FF0000FF"/>
        <rFont val="Arial"/>
        <family val="2"/>
      </rPr>
      <t xml:space="preserve"> is presented</t>
    </r>
  </si>
  <si>
    <r>
      <t xml:space="preserve"> </t>
    </r>
    <r>
      <rPr>
        <b/>
        <sz val="12"/>
        <color theme="0"/>
        <rFont val="Consolas"/>
        <family val="3"/>
      </rPr>
      <t>↓</t>
    </r>
    <r>
      <rPr>
        <b/>
        <sz val="12"/>
        <color theme="0"/>
        <rFont val="Arial"/>
        <family val="2"/>
      </rPr>
      <t xml:space="preserve">    I N T E R I M       C A L C U L A T I O N S    </t>
    </r>
    <r>
      <rPr>
        <b/>
        <sz val="12"/>
        <color theme="0"/>
        <rFont val="Consolas"/>
        <family val="3"/>
      </rPr>
      <t>↓</t>
    </r>
    <r>
      <rPr>
        <b/>
        <sz val="12"/>
        <color theme="0"/>
        <rFont val="Arial"/>
        <family val="2"/>
      </rPr>
      <t xml:space="preserve"> </t>
    </r>
  </si>
  <si>
    <t>Approximate block or particle size</t>
  </si>
  <si>
    <t>Rock strength data from SINTEF, 1988</t>
  </si>
  <si>
    <t>no wall contact                                     or  t &gt; ca. 5mm</t>
  </si>
  <si>
    <t>Joint dimension</t>
  </si>
  <si>
    <r>
      <t>Pi</t>
    </r>
    <r>
      <rPr>
        <vertAlign val="subscript"/>
        <sz val="8"/>
        <color theme="0" tint="-0.34998626667073579"/>
        <rFont val="Arial"/>
        <family val="2"/>
      </rPr>
      <t>z</t>
    </r>
    <r>
      <rPr>
        <sz val="8"/>
        <color theme="0" tint="-0.34998626667073579"/>
        <rFont val="Arial"/>
        <family val="2"/>
      </rPr>
      <t xml:space="preserve"> = (10/Dt)</t>
    </r>
    <r>
      <rPr>
        <vertAlign val="superscript"/>
        <sz val="8"/>
        <color theme="0" tint="-0.34998626667073579"/>
        <rFont val="Arial"/>
        <family val="2"/>
      </rPr>
      <t>0.5</t>
    </r>
    <r>
      <rPr>
        <sz val="8"/>
        <color theme="0" tint="-0.34998626667073579"/>
        <rFont val="Arial"/>
        <family val="2"/>
      </rPr>
      <t>)*(jC</t>
    </r>
    <r>
      <rPr>
        <vertAlign val="subscript"/>
        <sz val="8"/>
        <color theme="0" tint="-0.34998626667073579"/>
        <rFont val="Arial"/>
        <family val="2"/>
      </rPr>
      <t>z</t>
    </r>
    <r>
      <rPr>
        <sz val="8"/>
        <color theme="0" tint="-0.34998626667073579"/>
        <rFont val="Arial"/>
        <family val="2"/>
      </rPr>
      <t>+1)*((UCS</t>
    </r>
    <r>
      <rPr>
        <vertAlign val="subscript"/>
        <sz val="8"/>
        <color theme="0" tint="-0.34998626667073579"/>
        <rFont val="Arial"/>
        <family val="2"/>
      </rPr>
      <t>z</t>
    </r>
    <r>
      <rPr>
        <sz val="8"/>
        <color theme="0" tint="-0.34998626667073579"/>
        <rFont val="Arial"/>
        <family val="2"/>
      </rPr>
      <t>/100)</t>
    </r>
    <r>
      <rPr>
        <vertAlign val="superscript"/>
        <sz val="8"/>
        <color theme="0" tint="-0.34998626667073579"/>
        <rFont val="Arial"/>
        <family val="2"/>
      </rPr>
      <t>0.4</t>
    </r>
    <r>
      <rPr>
        <sz val="8"/>
        <color theme="0" tint="-0.34998626667073579"/>
        <rFont val="Arial"/>
        <family val="2"/>
      </rPr>
      <t>) * Gc</t>
    </r>
    <r>
      <rPr>
        <vertAlign val="subscript"/>
        <sz val="8"/>
        <color theme="0" tint="-0.34998626667073579"/>
        <rFont val="Arial"/>
        <family val="2"/>
      </rPr>
      <t>z</t>
    </r>
    <r>
      <rPr>
        <vertAlign val="superscript"/>
        <sz val="8"/>
        <color theme="0" tint="-0.34998626667073579"/>
        <rFont val="Arial"/>
        <family val="2"/>
      </rPr>
      <t>(-0.65*jCz^0.25)</t>
    </r>
  </si>
  <si>
    <t>Arching of weakness zone is based on the Q-system expression:</t>
  </si>
  <si>
    <t>A simpler expression that may be used is:</t>
  </si>
  <si>
    <r>
      <t>logQ</t>
    </r>
    <r>
      <rPr>
        <vertAlign val="subscript"/>
        <sz val="8"/>
        <color theme="0" tint="-0.34998626667073579"/>
        <rFont val="Arial"/>
        <family val="2"/>
      </rPr>
      <t>m</t>
    </r>
    <r>
      <rPr>
        <sz val="8"/>
        <color theme="0" tint="-0.34998626667073579"/>
        <rFont val="Arial"/>
        <family val="2"/>
      </rPr>
      <t xml:space="preserve"> = (Tz * logQ</t>
    </r>
    <r>
      <rPr>
        <vertAlign val="subscript"/>
        <sz val="8"/>
        <color theme="0" tint="-0.34998626667073579"/>
        <rFont val="Arial"/>
        <family val="2"/>
      </rPr>
      <t xml:space="preserve">z </t>
    </r>
    <r>
      <rPr>
        <sz val="8"/>
        <color theme="0" tint="-0.34998626667073579"/>
        <rFont val="Arial"/>
        <family val="2"/>
      </rPr>
      <t>* logQ</t>
    </r>
    <r>
      <rPr>
        <vertAlign val="subscript"/>
        <sz val="8"/>
        <color theme="0" tint="-0.34998626667073579"/>
        <rFont val="Arial"/>
        <family val="2"/>
      </rPr>
      <t>a</t>
    </r>
    <r>
      <rPr>
        <sz val="8"/>
        <color theme="0" tint="-0.34998626667073579"/>
        <rFont val="Arial"/>
        <family val="2"/>
      </rPr>
      <t>)/(Tz + 1)</t>
    </r>
  </si>
  <si>
    <r>
      <t>Gc</t>
    </r>
    <r>
      <rPr>
        <vertAlign val="subscript"/>
        <sz val="8"/>
        <color theme="0" tint="-0.249977111117893"/>
        <rFont val="Arial"/>
        <family val="2"/>
      </rPr>
      <t>m</t>
    </r>
    <r>
      <rPr>
        <sz val="8"/>
        <color theme="0" tint="-0.249977111117893"/>
        <rFont val="Arial"/>
        <family val="2"/>
      </rPr>
      <t xml:space="preserve"> = (10Tz</t>
    </r>
    <r>
      <rPr>
        <vertAlign val="superscript"/>
        <sz val="8"/>
        <color theme="0" tint="-0.249977111117893"/>
        <rFont val="Arial"/>
        <family val="2"/>
      </rPr>
      <t>2</t>
    </r>
    <r>
      <rPr>
        <sz val="8"/>
        <color theme="0" tint="-0.249977111117893"/>
        <rFont val="Arial"/>
        <family val="2"/>
      </rPr>
      <t xml:space="preserve"> * Gc</t>
    </r>
    <r>
      <rPr>
        <vertAlign val="subscript"/>
        <sz val="8"/>
        <color theme="0" tint="-0.249977111117893"/>
        <rFont val="Arial"/>
        <family val="2"/>
      </rPr>
      <t>z</t>
    </r>
    <r>
      <rPr>
        <sz val="8"/>
        <color theme="0" tint="-0.249977111117893"/>
        <rFont val="Arial"/>
        <family val="2"/>
      </rPr>
      <t xml:space="preserve"> + Gc</t>
    </r>
    <r>
      <rPr>
        <vertAlign val="subscript"/>
        <sz val="8"/>
        <color theme="0" tint="-0.249977111117893"/>
        <rFont val="Arial"/>
        <family val="2"/>
      </rPr>
      <t>a</t>
    </r>
    <r>
      <rPr>
        <sz val="8"/>
        <color theme="0" tint="-0.249977111117893"/>
        <rFont val="Arial"/>
        <family val="2"/>
      </rPr>
      <t>) /(10Tz</t>
    </r>
    <r>
      <rPr>
        <vertAlign val="superscript"/>
        <sz val="8"/>
        <color theme="0" tint="-0.249977111117893"/>
        <rFont val="Arial"/>
        <family val="2"/>
      </rPr>
      <t>2</t>
    </r>
    <r>
      <rPr>
        <sz val="8"/>
        <color theme="0" tint="-0.249977111117893"/>
        <rFont val="Arial"/>
        <family val="2"/>
      </rPr>
      <t xml:space="preserve"> +1)  (Palmstrom 1995)</t>
    </r>
  </si>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</sst>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164" formatCode="0.0"/>
    <numFmt numFmtId="165" formatCode="0.000"/>
    <numFmt numFmtId="166" formatCode="0.00000"/>
    <numFmt numFmtId="167" formatCode="#,##0.0000000"/>
    <numFmt numFmtId="168" formatCode="0.0&quot;m&quot;"/>
    <numFmt numFmtId="169" formatCode="#,##0.00000"/>
    <numFmt numFmtId="170" formatCode="0&quot; m&quot;"/>
    <numFmt numFmtId="171" formatCode="0.0&quot; m&quot;"/>
    <numFmt numFmtId="172" formatCode="0&quot; MPa&quot;"/>
    <numFmt numFmtId="173" formatCode="0.00&quot; m&quot;"/>
    <numFmt numFmtId="174" formatCode="0.00&quot; GPa&quot;"/>
    <numFmt numFmtId="175" formatCode="0&quot; mm&quot;"/>
    <numFmt numFmtId="176" formatCode="0.0&quot; m )&quot;"/>
    <numFmt numFmtId="177" formatCode="0.0000"/>
    <numFmt numFmtId="178" formatCode="0.00&quot; dm³&quot;"/>
    <numFmt numFmtId="179" formatCode="0.000&quot; m³&quot;"/>
    <numFmt numFmtId="180" formatCode="0&quot; m³&quot;"/>
    <numFmt numFmtId="181" formatCode="0&quot; joints/m³&quot;"/>
    <numFmt numFmtId="182" formatCode="0&quot; m²&quot;"/>
    <numFmt numFmtId="183" formatCode="0.0000&quot; m³&quot;"/>
    <numFmt numFmtId="184" formatCode="\=\ 0.00&quot; dm³&quot;"/>
    <numFmt numFmtId="185" formatCode="\=\ 0.0000&quot; m³&quot;"/>
    <numFmt numFmtId="186" formatCode="0.00000&quot; m³&quot;"/>
    <numFmt numFmtId="187" formatCode="0.000&quot; dm³&quot;"/>
    <numFmt numFmtId="188" formatCode="yyyy\-mm\-dd;@"/>
    <numFmt numFmtId="189" formatCode="0.00&quot; MPa&quot;"/>
    <numFmt numFmtId="190" formatCode="0.0&quot; MPa&quot;"/>
    <numFmt numFmtId="191" formatCode="0&quot;°&quot;"/>
    <numFmt numFmtId="192" formatCode="0.000&quot; MPa&quot;"/>
    <numFmt numFmtId="193" formatCode="0&quot; dm³&quot;"/>
    <numFmt numFmtId="194" formatCode="0.000&quot; m&quot;"/>
    <numFmt numFmtId="195" formatCode="0.0&quot; dm³&quot;"/>
  </numFmts>
  <fonts count="432">
    <font>
      <sz val="10"/>
      <name val="Arial"/>
    </font>
    <font>
      <sz val="10"/>
      <name val="Arial"/>
      <family val="2"/>
    </font>
    <font>
      <b/>
      <sz val="8"/>
      <name val="Arial"/>
      <family val="2"/>
    </font>
    <font>
      <sz val="8"/>
      <name val="Arial"/>
      <family val="2"/>
    </font>
    <font>
      <sz val="9"/>
      <name val="Arial"/>
      <family val="2"/>
    </font>
    <font>
      <sz val="10"/>
      <name val="Arial"/>
      <family val="2"/>
    </font>
    <font>
      <sz val="7"/>
      <color indexed="12"/>
      <name val="Arial"/>
      <family val="2"/>
    </font>
    <font>
      <u/>
      <sz val="12.5"/>
      <color indexed="12"/>
      <name val="MS Sans Serif"/>
      <family val="2"/>
    </font>
    <font>
      <sz val="8"/>
      <color indexed="12"/>
      <name val="Arial"/>
      <family val="2"/>
    </font>
    <font>
      <sz val="7"/>
      <name val="Arial"/>
      <family val="2"/>
    </font>
    <font>
      <sz val="9"/>
      <color indexed="12"/>
      <name val="Arial"/>
      <family val="2"/>
    </font>
    <font>
      <b/>
      <sz val="10"/>
      <name val="Arial"/>
      <family val="2"/>
    </font>
    <font>
      <b/>
      <sz val="7"/>
      <name val="Arial"/>
      <family val="2"/>
    </font>
    <font>
      <b/>
      <sz val="9"/>
      <name val="Arial"/>
      <family val="2"/>
    </font>
    <font>
      <b/>
      <sz val="8"/>
      <color indexed="8"/>
      <name val="Arial"/>
      <family val="2"/>
    </font>
    <font>
      <sz val="8"/>
      <color indexed="8"/>
      <name val="Arial"/>
      <family val="2"/>
    </font>
    <font>
      <sz val="7"/>
      <color indexed="8"/>
      <name val="Arial"/>
      <family val="2"/>
    </font>
    <font>
      <sz val="7"/>
      <color indexed="8"/>
      <name val="Symbol"/>
      <family val="1"/>
      <charset val="2"/>
    </font>
    <font>
      <vertAlign val="subscript"/>
      <sz val="7"/>
      <color indexed="8"/>
      <name val="Arial"/>
      <family val="2"/>
    </font>
    <font>
      <b/>
      <sz val="7"/>
      <color indexed="8"/>
      <name val="Arial"/>
      <family val="2"/>
    </font>
    <font>
      <vertAlign val="superscript"/>
      <sz val="7"/>
      <name val="Arial"/>
      <family val="2"/>
    </font>
    <font>
      <b/>
      <i/>
      <sz val="7"/>
      <name val="Arial"/>
      <family val="2"/>
    </font>
    <font>
      <i/>
      <sz val="7"/>
      <name val="Arial"/>
      <family val="2"/>
    </font>
    <font>
      <sz val="7"/>
      <name val="Symbol"/>
      <family val="1"/>
      <charset val="2"/>
    </font>
    <font>
      <vertAlign val="subscript"/>
      <sz val="7"/>
      <name val="Symbol"/>
      <family val="1"/>
      <charset val="2"/>
    </font>
    <font>
      <vertAlign val="subscript"/>
      <sz val="7"/>
      <name val="Arial"/>
      <family val="2"/>
    </font>
    <font>
      <b/>
      <sz val="11"/>
      <name val="Arial"/>
      <family val="2"/>
    </font>
    <font>
      <vertAlign val="subscript"/>
      <sz val="8"/>
      <name val="Arial"/>
      <family val="2"/>
    </font>
    <font>
      <i/>
      <sz val="8"/>
      <name val="Arial"/>
      <family val="2"/>
    </font>
    <font>
      <vertAlign val="subscript"/>
      <sz val="9"/>
      <name val="Arial"/>
      <family val="2"/>
    </font>
    <font>
      <sz val="8"/>
      <name val="Symbol"/>
      <family val="1"/>
      <charset val="2"/>
    </font>
    <font>
      <sz val="9"/>
      <color indexed="8"/>
      <name val="Arial"/>
      <family val="2"/>
    </font>
    <font>
      <sz val="8"/>
      <name val="Arial"/>
      <family val="2"/>
    </font>
    <font>
      <sz val="7"/>
      <name val="Arial"/>
      <family val="2"/>
    </font>
    <font>
      <vertAlign val="superscript"/>
      <sz val="8"/>
      <name val="Arial"/>
      <family val="2"/>
    </font>
    <font>
      <b/>
      <sz val="12"/>
      <name val="Arial"/>
      <family val="2"/>
    </font>
    <font>
      <sz val="8"/>
      <color indexed="12"/>
      <name val="Arial"/>
      <family val="2"/>
    </font>
    <font>
      <b/>
      <sz val="9"/>
      <color indexed="8"/>
      <name val="Arial"/>
      <family val="2"/>
    </font>
    <font>
      <vertAlign val="superscript"/>
      <sz val="8"/>
      <color indexed="8"/>
      <name val="Arial"/>
      <family val="2"/>
    </font>
    <font>
      <i/>
      <sz val="7"/>
      <name val="Arial"/>
      <family val="2"/>
    </font>
    <font>
      <b/>
      <i/>
      <sz val="8"/>
      <name val="Arial"/>
      <family val="2"/>
    </font>
    <font>
      <b/>
      <i/>
      <sz val="9"/>
      <name val="Arial"/>
      <family val="2"/>
    </font>
    <font>
      <u/>
      <sz val="10"/>
      <name val="Arial"/>
      <family val="2"/>
    </font>
    <font>
      <b/>
      <i/>
      <sz val="9"/>
      <color indexed="12"/>
      <name val="Arial"/>
      <family val="2"/>
    </font>
    <font>
      <u/>
      <sz val="8.5"/>
      <color indexed="12"/>
      <name val="MS Sans Serif"/>
      <family val="2"/>
    </font>
    <font>
      <i/>
      <sz val="8"/>
      <name val="Arial"/>
      <family val="2"/>
    </font>
    <font>
      <b/>
      <i/>
      <sz val="8"/>
      <name val="Arial"/>
      <family val="2"/>
    </font>
    <font>
      <strike/>
      <sz val="10"/>
      <name val="Arial"/>
      <family val="2"/>
    </font>
    <font>
      <strike/>
      <sz val="10"/>
      <name val="Cambria"/>
      <family val="1"/>
    </font>
    <font>
      <sz val="6"/>
      <name val="Arial"/>
      <family val="2"/>
    </font>
    <font>
      <i/>
      <vertAlign val="superscript"/>
      <sz val="7"/>
      <name val="Arial"/>
      <family val="2"/>
    </font>
    <font>
      <i/>
      <sz val="7"/>
      <name val="Symbol"/>
      <family val="1"/>
      <charset val="2"/>
    </font>
    <font>
      <i/>
      <vertAlign val="subscript"/>
      <sz val="7"/>
      <name val="Symbol"/>
      <family val="1"/>
      <charset val="2"/>
    </font>
    <font>
      <i/>
      <vertAlign val="subscript"/>
      <sz val="7"/>
      <name val="Arial"/>
      <family val="2"/>
    </font>
    <font>
      <i/>
      <sz val="7"/>
      <color indexed="8"/>
      <name val="Arial"/>
      <family val="2"/>
    </font>
    <font>
      <i/>
      <vertAlign val="superscript"/>
      <sz val="7"/>
      <color indexed="8"/>
      <name val="Arial"/>
      <family val="2"/>
    </font>
    <font>
      <sz val="6"/>
      <color indexed="8"/>
      <name val="Arial"/>
      <family val="2"/>
    </font>
    <font>
      <i/>
      <sz val="6"/>
      <name val="Arial"/>
      <family val="2"/>
    </font>
    <font>
      <sz val="8"/>
      <color indexed="8"/>
      <name val="Symbol"/>
      <family val="1"/>
      <charset val="2"/>
    </font>
    <font>
      <vertAlign val="subscript"/>
      <sz val="8"/>
      <color indexed="8"/>
      <name val="Arial"/>
      <family val="2"/>
    </font>
    <font>
      <sz val="7"/>
      <name val="Cambria"/>
      <family val="1"/>
    </font>
    <font>
      <i/>
      <sz val="7"/>
      <color indexed="8"/>
      <name val="Symbol"/>
      <family val="1"/>
      <charset val="2"/>
    </font>
    <font>
      <vertAlign val="superscript"/>
      <sz val="9"/>
      <name val="Arial"/>
      <family val="2"/>
    </font>
    <font>
      <sz val="10"/>
      <color indexed="10"/>
      <name val="Arial"/>
      <family val="2"/>
    </font>
    <font>
      <sz val="8"/>
      <color indexed="10"/>
      <name val="Arial"/>
      <family val="2"/>
    </font>
    <font>
      <sz val="7"/>
      <color indexed="12"/>
      <name val="Arial"/>
      <family val="2"/>
    </font>
    <font>
      <sz val="7"/>
      <color indexed="12"/>
      <name val="Arial"/>
      <family val="2"/>
    </font>
    <font>
      <i/>
      <sz val="8"/>
      <color indexed="8"/>
      <name val="Arial"/>
      <family val="2"/>
    </font>
    <font>
      <u/>
      <sz val="8"/>
      <color indexed="12"/>
      <name val="Arial"/>
      <family val="2"/>
    </font>
    <font>
      <b/>
      <sz val="6"/>
      <name val="Arial"/>
      <family val="2"/>
    </font>
    <font>
      <vertAlign val="superscript"/>
      <sz val="7"/>
      <color indexed="8"/>
      <name val="Arial"/>
      <family val="2"/>
    </font>
    <font>
      <sz val="3"/>
      <name val="Arial"/>
      <family val="2"/>
    </font>
    <font>
      <i/>
      <sz val="7"/>
      <color indexed="10"/>
      <name val="Arial"/>
      <family val="2"/>
    </font>
    <font>
      <sz val="11"/>
      <color indexed="8"/>
      <name val="Arial"/>
      <family val="2"/>
    </font>
    <font>
      <sz val="8"/>
      <color rgb="FF0000CC"/>
      <name val="Arial"/>
      <family val="2"/>
    </font>
    <font>
      <sz val="7"/>
      <color rgb="FF0000CC"/>
      <name val="Arial"/>
      <family val="2"/>
    </font>
    <font>
      <i/>
      <sz val="7"/>
      <color theme="1"/>
      <name val="Arial"/>
      <family val="2"/>
    </font>
    <font>
      <sz val="7"/>
      <color theme="1"/>
      <name val="Arial"/>
      <family val="2"/>
    </font>
    <font>
      <b/>
      <sz val="8"/>
      <color rgb="FFFF0000"/>
      <name val="Arial"/>
      <family val="2"/>
    </font>
    <font>
      <sz val="8"/>
      <color rgb="FF3333FF"/>
      <name val="Arial"/>
      <family val="2"/>
    </font>
    <font>
      <b/>
      <i/>
      <sz val="9"/>
      <color rgb="FF0000CC"/>
      <name val="Arial"/>
      <family val="2"/>
    </font>
    <font>
      <b/>
      <sz val="7"/>
      <color rgb="FF0000CC"/>
      <name val="Arial"/>
      <family val="2"/>
    </font>
    <font>
      <b/>
      <sz val="7"/>
      <color theme="1"/>
      <name val="Arial"/>
      <family val="2"/>
    </font>
    <font>
      <b/>
      <sz val="8"/>
      <color rgb="FF0000CC"/>
      <name val="Arial"/>
      <family val="2"/>
    </font>
    <font>
      <b/>
      <sz val="8"/>
      <color theme="1"/>
      <name val="Arial"/>
      <family val="2"/>
    </font>
    <font>
      <strike/>
      <sz val="7"/>
      <color indexed="8"/>
      <name val="Arial"/>
      <family val="2"/>
    </font>
    <font>
      <strike/>
      <sz val="8"/>
      <color indexed="8"/>
      <name val="Arial"/>
      <family val="2"/>
    </font>
    <font>
      <sz val="8"/>
      <color rgb="FFFF0000"/>
      <name val="Arial"/>
      <family val="2"/>
    </font>
    <font>
      <sz val="7"/>
      <color rgb="FFFF0000"/>
      <name val="Arial"/>
      <family val="2"/>
    </font>
    <font>
      <sz val="8"/>
      <color rgb="FF00B050"/>
      <name val="Arial"/>
      <family val="2"/>
    </font>
    <font>
      <sz val="8"/>
      <color theme="0"/>
      <name val="Arial"/>
      <family val="2"/>
    </font>
    <font>
      <i/>
      <sz val="7"/>
      <color rgb="FFFF0000"/>
      <name val="Arial"/>
      <family val="2"/>
    </font>
    <font>
      <sz val="11"/>
      <name val="Arial"/>
      <family val="2"/>
    </font>
    <font>
      <b/>
      <sz val="7"/>
      <name val="Calibri"/>
      <family val="2"/>
    </font>
    <font>
      <i/>
      <sz val="8"/>
      <color rgb="FF0000CC"/>
      <name val="Arial"/>
      <family val="2"/>
    </font>
    <font>
      <sz val="6"/>
      <color rgb="FFFF0000"/>
      <name val="Arial"/>
      <family val="2"/>
    </font>
    <font>
      <b/>
      <sz val="14"/>
      <name val="Arial"/>
      <family val="2"/>
    </font>
    <font>
      <strike/>
      <sz val="7"/>
      <name val="Cambria"/>
      <family val="1"/>
    </font>
    <font>
      <i/>
      <sz val="7"/>
      <color rgb="FF0000CC"/>
      <name val="Arial"/>
      <family val="2"/>
    </font>
    <font>
      <sz val="5"/>
      <name val="Arial"/>
      <family val="2"/>
    </font>
    <font>
      <sz val="7"/>
      <color indexed="8"/>
      <name val="Calibri"/>
      <family val="2"/>
      <scheme val="minor"/>
    </font>
    <font>
      <sz val="6"/>
      <color rgb="FF0000CC"/>
      <name val="Arial"/>
      <family val="2"/>
    </font>
    <font>
      <sz val="7"/>
      <color theme="1"/>
      <name val="Calibri"/>
      <family val="2"/>
    </font>
    <font>
      <b/>
      <u/>
      <sz val="8"/>
      <color theme="1"/>
      <name val="Arial"/>
      <family val="2"/>
    </font>
    <font>
      <b/>
      <sz val="7"/>
      <color rgb="FFFF0000"/>
      <name val="Arial"/>
      <family val="2"/>
    </font>
    <font>
      <i/>
      <sz val="6"/>
      <color rgb="FF0000CC"/>
      <name val="Arial"/>
      <family val="2"/>
    </font>
    <font>
      <sz val="7"/>
      <name val="Calibri"/>
      <family val="2"/>
      <scheme val="minor"/>
    </font>
    <font>
      <sz val="8"/>
      <color rgb="FF0000CC"/>
      <name val="Calibri"/>
      <family val="2"/>
      <scheme val="minor"/>
    </font>
    <font>
      <b/>
      <sz val="6"/>
      <color rgb="FFFF0000"/>
      <name val="Arial"/>
      <family val="2"/>
    </font>
    <font>
      <strike/>
      <sz val="10"/>
      <color rgb="FF0000CC"/>
      <name val="Arial"/>
      <family val="2"/>
    </font>
    <font>
      <sz val="7"/>
      <color rgb="FF0000CC"/>
      <name val="Calibri"/>
      <family val="2"/>
      <scheme val="minor"/>
    </font>
    <font>
      <b/>
      <sz val="10"/>
      <color rgb="FF0000CC"/>
      <name val="Arial"/>
      <family val="2"/>
    </font>
    <font>
      <sz val="7"/>
      <color rgb="FF3333FF"/>
      <name val="Arial"/>
      <family val="2"/>
    </font>
    <font>
      <sz val="6"/>
      <color rgb="FF3333FF"/>
      <name val="Arial"/>
      <family val="2"/>
    </font>
    <font>
      <b/>
      <sz val="6"/>
      <color rgb="FF3333FF"/>
      <name val="Arial"/>
      <family val="2"/>
    </font>
    <font>
      <sz val="7"/>
      <color rgb="FF3333FF"/>
      <name val="Calibri"/>
      <family val="2"/>
      <scheme val="minor"/>
    </font>
    <font>
      <b/>
      <sz val="8"/>
      <color rgb="FF3333FF"/>
      <name val="Arial"/>
      <family val="2"/>
    </font>
    <font>
      <sz val="6"/>
      <color rgb="FF3333FF"/>
      <name val="Calibri"/>
      <family val="2"/>
      <scheme val="minor"/>
    </font>
    <font>
      <i/>
      <sz val="7"/>
      <color rgb="FF3333FF"/>
      <name val="Arial"/>
      <family val="2"/>
    </font>
    <font>
      <sz val="9"/>
      <color rgb="FF3333FF"/>
      <name val="Arial"/>
      <family val="2"/>
    </font>
    <font>
      <sz val="8"/>
      <name val="Calibri"/>
      <family val="2"/>
      <scheme val="minor"/>
    </font>
    <font>
      <b/>
      <sz val="8"/>
      <color indexed="8"/>
      <name val="Calibri"/>
      <family val="2"/>
      <scheme val="minor"/>
    </font>
    <font>
      <u/>
      <sz val="8"/>
      <name val="Arial"/>
      <family val="2"/>
    </font>
    <font>
      <b/>
      <vertAlign val="superscript"/>
      <sz val="9"/>
      <name val="Arial"/>
      <family val="2"/>
    </font>
    <font>
      <sz val="10"/>
      <color indexed="12"/>
      <name val="Arial"/>
      <family val="2"/>
    </font>
    <font>
      <i/>
      <sz val="9"/>
      <name val="Arial"/>
      <family val="2"/>
    </font>
    <font>
      <b/>
      <i/>
      <sz val="8"/>
      <color rgb="FFFF0000"/>
      <name val="Arial"/>
      <family val="2"/>
    </font>
    <font>
      <i/>
      <sz val="8"/>
      <color rgb="FF3333FF"/>
      <name val="Arial"/>
      <family val="2"/>
    </font>
    <font>
      <sz val="6"/>
      <color indexed="12"/>
      <name val="Arial"/>
      <family val="2"/>
    </font>
    <font>
      <sz val="4"/>
      <color theme="0"/>
      <name val="Arial"/>
      <family val="2"/>
    </font>
    <font>
      <sz val="7"/>
      <color indexed="8"/>
      <name val="Calibri"/>
      <family val="2"/>
    </font>
    <font>
      <u/>
      <sz val="10"/>
      <color indexed="8"/>
      <name val="Arial"/>
      <family val="2"/>
    </font>
    <font>
      <sz val="8"/>
      <color theme="1"/>
      <name val="Calibri"/>
      <family val="2"/>
      <scheme val="minor"/>
    </font>
    <font>
      <sz val="7"/>
      <color theme="1"/>
      <name val="Calibri"/>
      <family val="2"/>
      <scheme val="minor"/>
    </font>
    <font>
      <i/>
      <sz val="10"/>
      <color theme="1"/>
      <name val="Times New Roman"/>
      <family val="1"/>
    </font>
    <font>
      <sz val="8"/>
      <color theme="1"/>
      <name val="Arial"/>
      <family val="2"/>
    </font>
    <font>
      <sz val="10"/>
      <name val="Calibri"/>
      <family val="2"/>
    </font>
    <font>
      <i/>
      <sz val="9"/>
      <color theme="1"/>
      <name val="Arial"/>
      <family val="2"/>
    </font>
    <font>
      <i/>
      <vertAlign val="subscript"/>
      <sz val="9"/>
      <color theme="1"/>
      <name val="Arial"/>
      <family val="2"/>
    </font>
    <font>
      <sz val="8"/>
      <color theme="0" tint="-0.34998626667073579"/>
      <name val="Calibri"/>
      <family val="2"/>
      <scheme val="minor"/>
    </font>
    <font>
      <vertAlign val="superscript"/>
      <sz val="8"/>
      <color theme="0" tint="-0.34998626667073579"/>
      <name val="Calibri"/>
      <family val="2"/>
      <scheme val="minor"/>
    </font>
    <font>
      <sz val="7"/>
      <color theme="0" tint="-0.34998626667073579"/>
      <name val="Arial"/>
      <family val="2"/>
    </font>
    <font>
      <i/>
      <sz val="7"/>
      <color indexed="12"/>
      <name val="Arial"/>
      <family val="2"/>
    </font>
    <font>
      <b/>
      <sz val="7"/>
      <name val="Arial Black"/>
      <family val="2"/>
    </font>
    <font>
      <sz val="4"/>
      <name val="Arial"/>
      <family val="2"/>
    </font>
    <font>
      <i/>
      <sz val="8"/>
      <color rgb="FFFF0000"/>
      <name val="Arial"/>
      <family val="2"/>
    </font>
    <font>
      <b/>
      <sz val="10"/>
      <color rgb="FF3333FF"/>
      <name val="Arial"/>
      <family val="2"/>
    </font>
    <font>
      <sz val="7"/>
      <color rgb="FF000000"/>
      <name val="Arial"/>
      <family val="2"/>
    </font>
    <font>
      <b/>
      <sz val="7"/>
      <color rgb="FF000000"/>
      <name val="Arial"/>
      <family val="2"/>
    </font>
    <font>
      <b/>
      <sz val="7"/>
      <color rgb="FF3333FF"/>
      <name val="Arial"/>
      <family val="2"/>
    </font>
    <font>
      <sz val="9"/>
      <color theme="1"/>
      <name val="Calibri"/>
      <family val="2"/>
      <scheme val="minor"/>
    </font>
    <font>
      <i/>
      <sz val="11"/>
      <color indexed="8"/>
      <name val="Arial"/>
      <family val="2"/>
    </font>
    <font>
      <b/>
      <sz val="8"/>
      <color rgb="FF000000"/>
      <name val="Arial"/>
      <family val="2"/>
    </font>
    <font>
      <sz val="6"/>
      <color rgb="FF000000"/>
      <name val="Arial"/>
      <family val="2"/>
    </font>
    <font>
      <u/>
      <sz val="11"/>
      <color indexed="8"/>
      <name val="Arial"/>
      <family val="2"/>
    </font>
    <font>
      <sz val="3"/>
      <color theme="0"/>
      <name val="Arial"/>
      <family val="2"/>
    </font>
    <font>
      <b/>
      <i/>
      <sz val="10"/>
      <name val="Arial"/>
      <family val="2"/>
    </font>
    <font>
      <sz val="9"/>
      <name val="Calibri"/>
      <family val="2"/>
    </font>
    <font>
      <sz val="7"/>
      <color rgb="FFFF0000"/>
      <name val="Calibri"/>
      <family val="2"/>
      <scheme val="minor"/>
    </font>
    <font>
      <b/>
      <sz val="8"/>
      <color rgb="FF0000CC"/>
      <name val="Calibri"/>
      <family val="2"/>
      <scheme val="minor"/>
    </font>
    <font>
      <sz val="11"/>
      <color indexed="8"/>
      <name val="Calibri"/>
      <family val="2"/>
    </font>
    <font>
      <b/>
      <sz val="9"/>
      <name val="Calibri"/>
      <family val="2"/>
    </font>
    <font>
      <sz val="5"/>
      <color indexed="8"/>
      <name val="Arial"/>
      <family val="2"/>
    </font>
    <font>
      <b/>
      <sz val="10"/>
      <name val="Arial Black"/>
      <family val="2"/>
    </font>
    <font>
      <b/>
      <sz val="9"/>
      <color indexed="8"/>
      <name val="Arial Black"/>
      <family val="2"/>
    </font>
    <font>
      <sz val="6"/>
      <color indexed="10"/>
      <name val="Arial"/>
      <family val="2"/>
    </font>
    <font>
      <vertAlign val="superscript"/>
      <sz val="6"/>
      <color rgb="FF000000"/>
      <name val="Arial"/>
      <family val="2"/>
    </font>
    <font>
      <sz val="6"/>
      <name val="Calibri"/>
      <family val="2"/>
      <scheme val="minor"/>
    </font>
    <font>
      <i/>
      <sz val="8"/>
      <color rgb="FF0000CC"/>
      <name val="Calibri"/>
      <family val="2"/>
      <scheme val="minor"/>
    </font>
    <font>
      <b/>
      <sz val="9"/>
      <name val="Calibri"/>
      <family val="2"/>
      <scheme val="minor"/>
    </font>
    <font>
      <b/>
      <sz val="8"/>
      <name val="Calibri"/>
      <family val="2"/>
      <scheme val="minor"/>
    </font>
    <font>
      <b/>
      <sz val="7"/>
      <name val="Calibri"/>
      <family val="2"/>
      <scheme val="minor"/>
    </font>
    <font>
      <i/>
      <sz val="8"/>
      <name val="Calibri"/>
      <family val="2"/>
      <scheme val="minor"/>
    </font>
    <font>
      <vertAlign val="superscript"/>
      <sz val="7"/>
      <name val="Calibri"/>
      <family val="2"/>
      <scheme val="minor"/>
    </font>
    <font>
      <b/>
      <sz val="7"/>
      <color rgb="FFFF0000"/>
      <name val="Calibri"/>
      <family val="2"/>
      <scheme val="minor"/>
    </font>
    <font>
      <sz val="4"/>
      <color indexed="8"/>
      <name val="Arial"/>
      <family val="2"/>
    </font>
    <font>
      <sz val="6"/>
      <color indexed="8"/>
      <name val="Calibri"/>
      <family val="2"/>
      <scheme val="minor"/>
    </font>
    <font>
      <sz val="7"/>
      <color indexed="12"/>
      <name val="Cambria"/>
      <family val="1"/>
    </font>
    <font>
      <vertAlign val="subscript"/>
      <sz val="8"/>
      <name val="Calibri"/>
      <family val="2"/>
      <scheme val="minor"/>
    </font>
    <font>
      <i/>
      <sz val="9"/>
      <color indexed="8"/>
      <name val="Arial"/>
      <family val="2"/>
    </font>
    <font>
      <sz val="8"/>
      <color indexed="8"/>
      <name val="Calibri"/>
      <family val="2"/>
      <scheme val="minor"/>
    </font>
    <font>
      <i/>
      <sz val="7"/>
      <color rgb="FF0000CC"/>
      <name val="Calibri"/>
      <family val="2"/>
      <scheme val="minor"/>
    </font>
    <font>
      <vertAlign val="subscript"/>
      <sz val="7"/>
      <color rgb="FF000000"/>
      <name val="Arial"/>
      <family val="2"/>
    </font>
    <font>
      <sz val="5"/>
      <color rgb="FF000000"/>
      <name val="Arial"/>
      <family val="2"/>
    </font>
    <font>
      <sz val="8"/>
      <color rgb="FF3333FF"/>
      <name val="Calibri"/>
      <family val="2"/>
    </font>
    <font>
      <sz val="8"/>
      <color rgb="FF3333FF"/>
      <name val="Calibri"/>
      <family val="2"/>
      <scheme val="minor"/>
    </font>
    <font>
      <vertAlign val="superscript"/>
      <sz val="6"/>
      <name val="Calibri"/>
      <family val="2"/>
      <scheme val="minor"/>
    </font>
    <font>
      <sz val="9"/>
      <color indexed="81"/>
      <name val="Tahoma"/>
      <family val="2"/>
    </font>
    <font>
      <sz val="6"/>
      <color indexed="81"/>
      <name val="Calibri"/>
      <family val="2"/>
      <scheme val="minor"/>
    </font>
    <font>
      <i/>
      <sz val="7"/>
      <color rgb="FF3333FF"/>
      <name val="Calibri"/>
      <family val="2"/>
      <scheme val="minor"/>
    </font>
    <font>
      <i/>
      <sz val="6"/>
      <color rgb="FFFF0000"/>
      <name val="Arial"/>
      <family val="2"/>
    </font>
    <font>
      <sz val="6.5"/>
      <name val="Calibri"/>
      <family val="2"/>
      <scheme val="minor"/>
    </font>
    <font>
      <sz val="6"/>
      <color rgb="FFFF0000"/>
      <name val="Calibri"/>
      <family val="2"/>
      <scheme val="minor"/>
    </font>
    <font>
      <sz val="6"/>
      <color indexed="81"/>
      <name val="Tahoma"/>
      <family val="2"/>
    </font>
    <font>
      <i/>
      <sz val="6"/>
      <color indexed="8"/>
      <name val="Arial"/>
      <family val="2"/>
    </font>
    <font>
      <b/>
      <sz val="7"/>
      <color rgb="FFFF0000"/>
      <name val="Arial Black"/>
      <family val="2"/>
    </font>
    <font>
      <b/>
      <sz val="8"/>
      <color rgb="FFFF0000"/>
      <name val="Calibri"/>
      <family val="2"/>
      <scheme val="minor"/>
    </font>
    <font>
      <sz val="6"/>
      <color rgb="FF0000CC"/>
      <name val="Calibri"/>
      <family val="2"/>
      <scheme val="minor"/>
    </font>
    <font>
      <sz val="7"/>
      <color rgb="FF0000CC"/>
      <name val="Calibri"/>
      <family val="2"/>
    </font>
    <font>
      <b/>
      <sz val="7"/>
      <color indexed="8"/>
      <name val="Calibri"/>
      <family val="2"/>
      <scheme val="minor"/>
    </font>
    <font>
      <sz val="7"/>
      <color rgb="FF000000"/>
      <name val="Calibri"/>
      <family val="2"/>
      <scheme val="minor"/>
    </font>
    <font>
      <b/>
      <sz val="10"/>
      <color indexed="8"/>
      <name val="Arial Black"/>
      <family val="2"/>
    </font>
    <font>
      <b/>
      <i/>
      <sz val="8"/>
      <color indexed="8"/>
      <name val="Arial"/>
      <family val="2"/>
    </font>
    <font>
      <b/>
      <sz val="8"/>
      <color indexed="8"/>
      <name val="Arial Black"/>
      <family val="2"/>
    </font>
    <font>
      <b/>
      <i/>
      <sz val="7"/>
      <color rgb="FFFF0000"/>
      <name val="Arial"/>
      <family val="2"/>
    </font>
    <font>
      <sz val="5"/>
      <color rgb="FF0000CC"/>
      <name val="Arial Black"/>
      <family val="2"/>
    </font>
    <font>
      <b/>
      <i/>
      <sz val="6"/>
      <color rgb="FF0000CC"/>
      <name val="Calibri"/>
      <family val="2"/>
      <scheme val="minor"/>
    </font>
    <font>
      <sz val="7"/>
      <color rgb="FF000000"/>
      <name val="Symbol"/>
      <family val="1"/>
      <charset val="2"/>
    </font>
    <font>
      <sz val="7"/>
      <color indexed="8"/>
      <name val="Arial"/>
      <family val="1"/>
      <charset val="2"/>
    </font>
    <font>
      <b/>
      <sz val="8"/>
      <name val="Symbol"/>
      <family val="1"/>
      <charset val="2"/>
    </font>
    <font>
      <vertAlign val="superscript"/>
      <sz val="7"/>
      <color rgb="FF000000"/>
      <name val="Symbol"/>
      <family val="1"/>
      <charset val="2"/>
    </font>
    <font>
      <i/>
      <sz val="7"/>
      <color rgb="FFFF0000"/>
      <name val="Calibri"/>
      <family val="2"/>
      <scheme val="minor"/>
    </font>
    <font>
      <b/>
      <i/>
      <sz val="7"/>
      <color indexed="10"/>
      <name val="Arial"/>
      <family val="2"/>
    </font>
    <font>
      <b/>
      <sz val="9"/>
      <color rgb="FF0000CC"/>
      <name val="Arial Black"/>
      <family val="2"/>
    </font>
    <font>
      <sz val="11"/>
      <color indexed="8"/>
      <name val="Calibri"/>
      <family val="2"/>
      <scheme val="minor"/>
    </font>
    <font>
      <sz val="8"/>
      <color indexed="12"/>
      <name val="Calibri"/>
      <family val="2"/>
      <scheme val="minor"/>
    </font>
    <font>
      <sz val="11"/>
      <color rgb="FF3333FF"/>
      <name val="Calibri"/>
      <family val="2"/>
      <scheme val="minor"/>
    </font>
    <font>
      <sz val="9"/>
      <color indexed="8"/>
      <name val="Calibri"/>
      <family val="2"/>
      <scheme val="minor"/>
    </font>
    <font>
      <b/>
      <i/>
      <sz val="7"/>
      <color rgb="FF0000CC"/>
      <name val="Calibri"/>
      <family val="2"/>
      <scheme val="minor"/>
    </font>
    <font>
      <sz val="6"/>
      <color rgb="FF000000"/>
      <name val="Symbol"/>
      <family val="1"/>
      <charset val="2"/>
    </font>
    <font>
      <sz val="6"/>
      <color indexed="8"/>
      <name val="Arial"/>
      <family val="1"/>
      <charset val="2"/>
    </font>
    <font>
      <b/>
      <i/>
      <sz val="7"/>
      <color rgb="FFFF0000"/>
      <name val="Calibri"/>
      <family val="2"/>
      <scheme val="minor"/>
    </font>
    <font>
      <i/>
      <sz val="6"/>
      <color rgb="FF0000CC"/>
      <name val="Calibri"/>
      <family val="2"/>
      <scheme val="minor"/>
    </font>
    <font>
      <sz val="7"/>
      <color indexed="12"/>
      <name val="Calibri"/>
      <family val="2"/>
      <scheme val="minor"/>
    </font>
    <font>
      <i/>
      <sz val="6.5"/>
      <color indexed="10"/>
      <name val="Calibri"/>
      <family val="2"/>
      <scheme val="minor"/>
    </font>
    <font>
      <i/>
      <sz val="6.5"/>
      <color rgb="FFFF0000"/>
      <name val="Calibri"/>
      <family val="2"/>
      <scheme val="minor"/>
    </font>
    <font>
      <sz val="6.5"/>
      <color indexed="8"/>
      <name val="Calibri"/>
      <family val="2"/>
      <scheme val="minor"/>
    </font>
    <font>
      <sz val="6.5"/>
      <color rgb="FFFF0000"/>
      <name val="Calibri"/>
      <family val="2"/>
      <scheme val="minor"/>
    </font>
    <font>
      <sz val="6.5"/>
      <color theme="0"/>
      <name val="Calibri"/>
      <family val="2"/>
      <scheme val="minor"/>
    </font>
    <font>
      <sz val="9"/>
      <name val="Calibri"/>
      <family val="2"/>
      <scheme val="minor"/>
    </font>
    <font>
      <sz val="11"/>
      <name val="Calibri"/>
      <family val="2"/>
      <scheme val="minor"/>
    </font>
    <font>
      <i/>
      <sz val="6.5"/>
      <color rgb="FF0000CC"/>
      <name val="Arial"/>
      <family val="2"/>
    </font>
    <font>
      <sz val="4"/>
      <name val="Arial Black"/>
      <family val="2"/>
    </font>
    <font>
      <i/>
      <vertAlign val="superscript"/>
      <sz val="6"/>
      <color rgb="FF0000CC"/>
      <name val="Calibri"/>
      <family val="2"/>
      <scheme val="minor"/>
    </font>
    <font>
      <b/>
      <i/>
      <sz val="7"/>
      <color indexed="12"/>
      <name val="Arial"/>
      <family val="2"/>
    </font>
    <font>
      <i/>
      <sz val="6.5"/>
      <color indexed="10"/>
      <name val="Arial Narrow"/>
      <family val="2"/>
    </font>
    <font>
      <sz val="7.5"/>
      <color indexed="8"/>
      <name val="Arial Narrow"/>
      <family val="2"/>
    </font>
    <font>
      <i/>
      <sz val="7"/>
      <color rgb="FFFF0000"/>
      <name val="Arial Narrow"/>
      <family val="2"/>
    </font>
    <font>
      <i/>
      <sz val="9"/>
      <color rgb="FF0000CC"/>
      <name val="Arial"/>
      <family val="2"/>
    </font>
    <font>
      <i/>
      <sz val="11"/>
      <color rgb="FF0000CC"/>
      <name val="Arial"/>
      <family val="2"/>
    </font>
    <font>
      <sz val="8"/>
      <color theme="1"/>
      <name val="Arial Narrow"/>
      <family val="2"/>
    </font>
    <font>
      <i/>
      <sz val="7"/>
      <color indexed="10"/>
      <name val="Calibri"/>
      <family val="2"/>
      <scheme val="minor"/>
    </font>
    <font>
      <b/>
      <sz val="8"/>
      <color theme="1"/>
      <name val="Calibri"/>
      <family val="2"/>
      <scheme val="minor"/>
    </font>
    <font>
      <b/>
      <sz val="8"/>
      <color theme="0" tint="-0.34998626667073579"/>
      <name val="Calibri"/>
      <family val="2"/>
      <scheme val="minor"/>
    </font>
    <font>
      <b/>
      <vertAlign val="subscript"/>
      <sz val="8"/>
      <color theme="1"/>
      <name val="Calibri"/>
      <family val="2"/>
      <scheme val="minor"/>
    </font>
    <font>
      <b/>
      <vertAlign val="subscript"/>
      <sz val="8"/>
      <color rgb="FF000000"/>
      <name val="Arial Black"/>
      <family val="2"/>
    </font>
    <font>
      <b/>
      <sz val="8"/>
      <name val="Arial Black"/>
      <family val="2"/>
    </font>
    <font>
      <b/>
      <sz val="9"/>
      <name val="Arial Black"/>
      <family val="2"/>
    </font>
    <font>
      <i/>
      <sz val="11"/>
      <name val="Calibri"/>
      <family val="2"/>
      <scheme val="minor"/>
    </font>
    <font>
      <b/>
      <sz val="3"/>
      <color theme="0"/>
      <name val="Arial"/>
      <family val="2"/>
    </font>
    <font>
      <sz val="10"/>
      <name val="Arial Black"/>
      <family val="2"/>
    </font>
    <font>
      <i/>
      <sz val="7"/>
      <color indexed="8"/>
      <name val="Arial Narrow"/>
      <family val="2"/>
    </font>
    <font>
      <sz val="10"/>
      <name val="Calibri"/>
      <family val="2"/>
      <scheme val="minor"/>
    </font>
    <font>
      <b/>
      <i/>
      <sz val="9"/>
      <name val="Calibri"/>
      <family val="2"/>
      <scheme val="minor"/>
    </font>
    <font>
      <b/>
      <sz val="14"/>
      <name val="Arial Black"/>
      <family val="2"/>
    </font>
    <font>
      <sz val="14"/>
      <name val="Arial Black"/>
      <family val="2"/>
    </font>
    <font>
      <b/>
      <i/>
      <sz val="11"/>
      <name val="Times New Roman"/>
      <family val="1"/>
    </font>
    <font>
      <sz val="10"/>
      <name val="Times New Roman"/>
      <family val="1"/>
    </font>
    <font>
      <b/>
      <sz val="9"/>
      <color theme="0" tint="-0.249977111117893"/>
      <name val="Arial"/>
      <family val="2"/>
    </font>
    <font>
      <b/>
      <sz val="10"/>
      <color theme="0" tint="-0.249977111117893"/>
      <name val="Arial"/>
      <family val="2"/>
    </font>
    <font>
      <b/>
      <sz val="8"/>
      <color theme="0" tint="-0.249977111117893"/>
      <name val="Arial"/>
      <family val="2"/>
    </font>
    <font>
      <sz val="8"/>
      <color theme="0" tint="-0.249977111117893"/>
      <name val="Arial"/>
      <family val="2"/>
    </font>
    <font>
      <b/>
      <sz val="9"/>
      <color theme="0" tint="-0.249977111117893"/>
      <name val="Symbol"/>
      <family val="1"/>
      <charset val="2"/>
    </font>
    <font>
      <b/>
      <vertAlign val="subscript"/>
      <sz val="9"/>
      <color theme="0" tint="-0.249977111117893"/>
      <name val="Arial"/>
      <family val="2"/>
    </font>
    <font>
      <sz val="7"/>
      <color theme="0" tint="-0.249977111117893"/>
      <name val="Arial"/>
      <family val="2"/>
    </font>
    <font>
      <b/>
      <sz val="7"/>
      <color theme="0" tint="-0.249977111117893"/>
      <name val="Arial"/>
      <family val="2"/>
    </font>
    <font>
      <vertAlign val="subscript"/>
      <sz val="7"/>
      <color theme="0" tint="-0.249977111117893"/>
      <name val="Arial"/>
      <family val="2"/>
    </font>
    <font>
      <sz val="9"/>
      <color theme="0" tint="-0.249977111117893"/>
      <name val="Arial"/>
      <family val="1"/>
      <charset val="2"/>
    </font>
    <font>
      <sz val="9"/>
      <color theme="0" tint="-0.249977111117893"/>
      <name val="Symbol"/>
      <family val="1"/>
      <charset val="2"/>
    </font>
    <font>
      <sz val="9"/>
      <color theme="0" tint="-0.249977111117893"/>
      <name val="Arial"/>
      <family val="2"/>
    </font>
    <font>
      <vertAlign val="superscript"/>
      <sz val="8"/>
      <color theme="0" tint="-0.249977111117893"/>
      <name val="Arial"/>
      <family val="2"/>
    </font>
    <font>
      <sz val="6"/>
      <color theme="0" tint="-0.249977111117893"/>
      <name val="Arial"/>
      <family val="2"/>
    </font>
    <font>
      <sz val="10"/>
      <color theme="0" tint="-0.249977111117893"/>
      <name val="Arial"/>
      <family val="2"/>
    </font>
    <font>
      <sz val="11"/>
      <color theme="0" tint="-0.249977111117893"/>
      <name val="Arial"/>
      <family val="2"/>
    </font>
    <font>
      <vertAlign val="superscript"/>
      <sz val="7"/>
      <color theme="0" tint="-0.249977111117893"/>
      <name val="Arial"/>
      <family val="2"/>
    </font>
    <font>
      <vertAlign val="subscript"/>
      <sz val="8"/>
      <color theme="0" tint="-0.249977111117893"/>
      <name val="Arial"/>
      <family val="2"/>
    </font>
    <font>
      <i/>
      <sz val="6"/>
      <color theme="0" tint="-0.249977111117893"/>
      <name val="Arial Narrow"/>
      <family val="2"/>
    </font>
    <font>
      <i/>
      <sz val="6"/>
      <color theme="0" tint="-0.249977111117893"/>
      <name val="Arial"/>
      <family val="2"/>
    </font>
    <font>
      <sz val="8"/>
      <color theme="0" tint="-0.249977111117893"/>
      <name val="Calibri"/>
      <family val="2"/>
      <scheme val="minor"/>
    </font>
    <font>
      <vertAlign val="subscript"/>
      <sz val="8"/>
      <color theme="0" tint="-0.249977111117893"/>
      <name val="Calibri"/>
      <family val="2"/>
      <scheme val="minor"/>
    </font>
    <font>
      <b/>
      <sz val="6"/>
      <color theme="0" tint="-0.249977111117893"/>
      <name val="Arial"/>
      <family val="2"/>
    </font>
    <font>
      <b/>
      <vertAlign val="subscript"/>
      <sz val="8"/>
      <color theme="0" tint="-0.249977111117893"/>
      <name val="Arial"/>
      <family val="2"/>
    </font>
    <font>
      <sz val="7"/>
      <color theme="0" tint="-0.249977111117893"/>
      <name val="Calibri"/>
      <family val="2"/>
      <scheme val="minor"/>
    </font>
    <font>
      <b/>
      <i/>
      <sz val="7"/>
      <color theme="0" tint="-0.249977111117893"/>
      <name val="Arial"/>
      <family val="2"/>
    </font>
    <font>
      <sz val="11"/>
      <color theme="0" tint="-0.14999847407452621"/>
      <name val="Arial"/>
      <family val="2"/>
    </font>
    <font>
      <sz val="7"/>
      <color theme="0" tint="-0.14999847407452621"/>
      <name val="Arial"/>
      <family val="2"/>
    </font>
    <font>
      <b/>
      <sz val="8"/>
      <color theme="0" tint="-0.14999847407452621"/>
      <name val="Arial"/>
      <family val="2"/>
    </font>
    <font>
      <sz val="6"/>
      <color theme="0" tint="-0.14999847407452621"/>
      <name val="Arial"/>
      <family val="2"/>
    </font>
    <font>
      <i/>
      <sz val="8"/>
      <color theme="0" tint="-0.14999847407452621"/>
      <name val="Arial"/>
      <family val="2"/>
    </font>
    <font>
      <sz val="9"/>
      <color theme="0" tint="-0.14999847407452621"/>
      <name val="Arial"/>
      <family val="2"/>
    </font>
    <font>
      <b/>
      <i/>
      <sz val="8"/>
      <color theme="0" tint="-0.14999847407452621"/>
      <name val="Arial"/>
      <family val="2"/>
    </font>
    <font>
      <sz val="10"/>
      <color theme="0" tint="-0.14999847407452621"/>
      <name val="Arial"/>
      <family val="2"/>
    </font>
    <font>
      <i/>
      <sz val="7"/>
      <color rgb="FFFEB4B4"/>
      <name val="Arial"/>
      <family val="2"/>
    </font>
    <font>
      <sz val="7"/>
      <color rgb="FFFEB4B4"/>
      <name val="Arial"/>
      <family val="2"/>
    </font>
    <font>
      <sz val="11"/>
      <color rgb="FFFEB4B4"/>
      <name val="Arial"/>
      <family val="2"/>
    </font>
    <font>
      <sz val="9"/>
      <color rgb="FFFEB4B4"/>
      <name val="Arial"/>
      <family val="2"/>
    </font>
    <font>
      <sz val="8"/>
      <color theme="4" tint="0.59999389629810485"/>
      <name val="Arial"/>
      <family val="2"/>
    </font>
    <font>
      <sz val="7"/>
      <color theme="4" tint="0.59999389629810485"/>
      <name val="Arial"/>
      <family val="2"/>
    </font>
    <font>
      <strike/>
      <sz val="10"/>
      <color theme="4" tint="0.59999389629810485"/>
      <name val="Arial"/>
      <family val="2"/>
    </font>
    <font>
      <sz val="10"/>
      <color theme="4" tint="0.59999389629810485"/>
      <name val="Arial"/>
      <family val="2"/>
    </font>
    <font>
      <i/>
      <sz val="7"/>
      <color theme="4" tint="0.59999389629810485"/>
      <name val="Arial"/>
      <family val="2"/>
    </font>
    <font>
      <b/>
      <sz val="11"/>
      <color theme="0" tint="-0.249977111117893"/>
      <name val="Arial"/>
      <family val="2"/>
    </font>
    <font>
      <sz val="6"/>
      <color theme="0" tint="-0.249977111117893"/>
      <name val="Calibri"/>
      <family val="2"/>
      <scheme val="minor"/>
    </font>
    <font>
      <sz val="5"/>
      <color theme="0" tint="-0.249977111117893"/>
      <name val="Arial"/>
      <family val="2"/>
    </font>
    <font>
      <i/>
      <sz val="7"/>
      <color theme="0" tint="-0.249977111117893"/>
      <name val="Arial"/>
      <family val="2"/>
    </font>
    <font>
      <sz val="6"/>
      <color theme="0" tint="-0.249977111117893"/>
      <name val="Arial Narrow"/>
      <family val="2"/>
    </font>
    <font>
      <b/>
      <i/>
      <sz val="8"/>
      <color theme="0" tint="-0.249977111117893"/>
      <name val="Arial"/>
      <family val="2"/>
    </font>
    <font>
      <sz val="4"/>
      <color theme="0" tint="-0.249977111117893"/>
      <name val="Arial"/>
      <family val="2"/>
    </font>
    <font>
      <sz val="3"/>
      <color theme="0" tint="-0.249977111117893"/>
      <name val="Arial"/>
      <family val="2"/>
    </font>
    <font>
      <b/>
      <sz val="8"/>
      <color theme="0" tint="-0.249977111117893"/>
      <name val="Calibri"/>
      <family val="2"/>
      <scheme val="minor"/>
    </font>
    <font>
      <b/>
      <vertAlign val="subscript"/>
      <sz val="8"/>
      <color theme="0" tint="-0.249977111117893"/>
      <name val="Calibri"/>
      <family val="2"/>
      <scheme val="minor"/>
    </font>
    <font>
      <sz val="6"/>
      <color theme="0" tint="-0.249977111117893"/>
      <name val="Symbol"/>
      <family val="1"/>
      <charset val="2"/>
    </font>
    <font>
      <sz val="8"/>
      <color theme="0" tint="-0.249977111117893"/>
      <name val="Calibri"/>
      <family val="2"/>
    </font>
    <font>
      <u/>
      <sz val="8"/>
      <color indexed="12"/>
      <name val="Calibri"/>
      <family val="2"/>
      <scheme val="minor"/>
    </font>
    <font>
      <sz val="7"/>
      <color theme="0" tint="-0.34998626667073579"/>
      <name val="Arial Narrow"/>
      <family val="2"/>
    </font>
    <font>
      <vertAlign val="superscript"/>
      <sz val="7"/>
      <color theme="0" tint="-0.34998626667073579"/>
      <name val="Arial Narrow"/>
      <family val="2"/>
    </font>
    <font>
      <vertAlign val="superscript"/>
      <sz val="7"/>
      <color theme="0" tint="-0.34998626667073579"/>
      <name val="Arial"/>
      <family val="2"/>
    </font>
    <font>
      <b/>
      <sz val="9"/>
      <color rgb="FF0000CC"/>
      <name val="Arial Narrow"/>
      <family val="2"/>
    </font>
    <font>
      <b/>
      <sz val="7"/>
      <name val="Arial Narrow"/>
      <family val="2"/>
    </font>
    <font>
      <i/>
      <sz val="6.5"/>
      <color indexed="8"/>
      <name val="Arial"/>
      <family val="2"/>
    </font>
    <font>
      <i/>
      <sz val="9"/>
      <color rgb="FF0000CC"/>
      <name val="Calibri"/>
      <family val="2"/>
      <scheme val="minor"/>
    </font>
    <font>
      <b/>
      <sz val="12"/>
      <color theme="0"/>
      <name val="Arial"/>
      <family val="2"/>
    </font>
    <font>
      <i/>
      <sz val="10"/>
      <name val="Arial"/>
      <family val="2"/>
    </font>
    <font>
      <b/>
      <sz val="7"/>
      <color indexed="12"/>
      <name val="Arial Black"/>
      <family val="2"/>
    </font>
    <font>
      <sz val="7"/>
      <name val="Arial Black"/>
      <family val="2"/>
    </font>
    <font>
      <b/>
      <sz val="7"/>
      <color indexed="8"/>
      <name val="Arial Black"/>
      <family val="2"/>
    </font>
    <font>
      <sz val="8.5"/>
      <name val="Arial"/>
      <family val="2"/>
    </font>
    <font>
      <b/>
      <u/>
      <sz val="9"/>
      <color theme="0" tint="-0.249977111117893"/>
      <name val="Arial"/>
      <family val="2"/>
    </font>
    <font>
      <vertAlign val="subscript"/>
      <sz val="8"/>
      <color theme="0" tint="-0.249977111117893"/>
      <name val="Symbol"/>
      <family val="1"/>
      <charset val="2"/>
    </font>
    <font>
      <vertAlign val="superscript"/>
      <sz val="8"/>
      <color theme="0" tint="-0.249977111117893"/>
      <name val="Calibri"/>
      <family val="2"/>
      <scheme val="minor"/>
    </font>
    <font>
      <sz val="7"/>
      <color theme="3" tint="0.59999389629810485"/>
      <name val="Arial"/>
      <family val="2"/>
    </font>
    <font>
      <sz val="7"/>
      <color indexed="12"/>
      <name val="Arial Black"/>
      <family val="2"/>
    </font>
    <font>
      <i/>
      <sz val="12"/>
      <name val="Symbol"/>
      <family val="1"/>
      <charset val="2"/>
    </font>
    <font>
      <sz val="8"/>
      <color rgb="FF000000"/>
      <name val="Symbol"/>
      <family val="1"/>
      <charset val="2"/>
    </font>
    <font>
      <b/>
      <sz val="7"/>
      <color rgb="FF0000CC"/>
      <name val="Arial"/>
      <family val="2"/>
      <charset val="2"/>
    </font>
    <font>
      <b/>
      <sz val="7"/>
      <color rgb="FF0000CC"/>
      <name val="Symbol"/>
      <family val="1"/>
      <charset val="2"/>
    </font>
    <font>
      <sz val="7"/>
      <color rgb="FF000000"/>
      <name val="Arial Narrow"/>
      <family val="2"/>
    </font>
    <font>
      <b/>
      <sz val="7"/>
      <color rgb="FF000000"/>
      <name val="Arial Narrow"/>
      <family val="2"/>
    </font>
    <font>
      <vertAlign val="superscript"/>
      <sz val="6"/>
      <color rgb="FF0000CC"/>
      <name val="Calibri"/>
      <family val="2"/>
      <scheme val="minor"/>
    </font>
    <font>
      <b/>
      <sz val="6"/>
      <color rgb="FF000000"/>
      <name val="Arial"/>
      <family val="2"/>
    </font>
    <font>
      <b/>
      <sz val="8"/>
      <color rgb="FF000000"/>
      <name val="Calibri"/>
      <family val="2"/>
      <scheme val="minor"/>
    </font>
    <font>
      <b/>
      <sz val="9"/>
      <color rgb="FF000000"/>
      <name val="Calibri"/>
      <family val="2"/>
      <scheme val="minor"/>
    </font>
    <font>
      <b/>
      <sz val="9"/>
      <color indexed="8"/>
      <name val="Calibri"/>
      <family val="2"/>
      <scheme val="minor"/>
    </font>
    <font>
      <sz val="11"/>
      <color rgb="FF0000CC"/>
      <name val="Arial"/>
      <family val="2"/>
    </font>
    <font>
      <sz val="9"/>
      <color rgb="FF0000CC"/>
      <name val="Arial"/>
      <family val="2"/>
    </font>
    <font>
      <b/>
      <sz val="16"/>
      <name val="Arial"/>
      <family val="2"/>
    </font>
    <font>
      <sz val="8"/>
      <color indexed="12"/>
      <name val="Arial Narrow"/>
      <family val="2"/>
    </font>
    <font>
      <sz val="7"/>
      <color indexed="8"/>
      <name val="Arial"/>
      <family val="2"/>
      <charset val="2"/>
    </font>
    <font>
      <b/>
      <sz val="7"/>
      <color rgb="FF3333FF"/>
      <name val="Calibri"/>
      <family val="2"/>
      <scheme val="minor"/>
    </font>
    <font>
      <b/>
      <sz val="8"/>
      <color indexed="10"/>
      <name val="Arial"/>
      <family val="2"/>
    </font>
    <font>
      <vertAlign val="subscript"/>
      <sz val="9"/>
      <color theme="0" tint="-0.249977111117893"/>
      <name val="Symbol"/>
      <family val="1"/>
      <charset val="2"/>
    </font>
    <font>
      <b/>
      <sz val="6"/>
      <color indexed="81"/>
      <name val="Tahoma"/>
      <family val="2"/>
    </font>
    <font>
      <vertAlign val="subscript"/>
      <sz val="8"/>
      <name val="Symbol"/>
      <family val="1"/>
      <charset val="2"/>
    </font>
    <font>
      <i/>
      <sz val="7"/>
      <name val="Times New Roman"/>
      <family val="1"/>
    </font>
    <font>
      <sz val="7"/>
      <color theme="1"/>
      <name val="Arial Black"/>
      <family val="2"/>
    </font>
    <font>
      <b/>
      <sz val="8"/>
      <color indexed="8"/>
      <name val="Arial Narrow"/>
      <family val="2"/>
    </font>
    <font>
      <i/>
      <sz val="7"/>
      <color rgb="FF000000"/>
      <name val="Arial Narrow"/>
      <family val="2"/>
    </font>
    <font>
      <i/>
      <sz val="6"/>
      <color rgb="FF000000"/>
      <name val="Arial Narrow"/>
      <family val="2"/>
    </font>
    <font>
      <sz val="5"/>
      <color rgb="FF3333FF"/>
      <name val="Calibri"/>
      <family val="2"/>
      <scheme val="minor"/>
    </font>
    <font>
      <b/>
      <sz val="7"/>
      <color rgb="FF000000"/>
      <name val="Symbol"/>
      <family val="1"/>
      <charset val="2"/>
    </font>
    <font>
      <sz val="6.5"/>
      <color rgb="FFFF0000"/>
      <name val="Arial"/>
      <family val="2"/>
    </font>
    <font>
      <sz val="7"/>
      <color rgb="FF0000FF"/>
      <name val="Arial"/>
      <family val="2"/>
    </font>
    <font>
      <sz val="6"/>
      <color rgb="FF0000FF"/>
      <name val="Calibri"/>
      <family val="2"/>
      <scheme val="minor"/>
    </font>
    <font>
      <sz val="6"/>
      <color rgb="FF0000FF"/>
      <name val="Arial"/>
      <family val="2"/>
    </font>
    <font>
      <i/>
      <sz val="6.8"/>
      <color rgb="FF3333FF"/>
      <name val="Arial Narrow"/>
      <family val="2"/>
    </font>
    <font>
      <sz val="7"/>
      <color rgb="FF0000FF"/>
      <name val="Arial Black"/>
      <family val="2"/>
    </font>
    <font>
      <sz val="11"/>
      <color indexed="8"/>
      <name val="Consolas"/>
      <family val="3"/>
    </font>
    <font>
      <i/>
      <sz val="7"/>
      <color rgb="FF0000FF"/>
      <name val="Calibri"/>
      <family val="2"/>
      <scheme val="minor"/>
    </font>
    <font>
      <sz val="6.5"/>
      <color rgb="FF0000CC"/>
      <name val="Arial Narrow"/>
      <family val="2"/>
    </font>
    <font>
      <sz val="8"/>
      <color indexed="8"/>
      <name val="Arial Narrow"/>
      <family val="2"/>
    </font>
    <font>
      <sz val="6"/>
      <color indexed="8"/>
      <name val="Arial Narrow"/>
      <family val="2"/>
    </font>
    <font>
      <sz val="6"/>
      <name val="Arial Narrow"/>
      <family val="2"/>
    </font>
    <font>
      <b/>
      <sz val="11"/>
      <name val="Calibri"/>
      <family val="2"/>
      <scheme val="minor"/>
    </font>
    <font>
      <sz val="8"/>
      <color rgb="FF0000FF"/>
      <name val="Arial Narrow"/>
      <family val="2"/>
    </font>
    <font>
      <i/>
      <sz val="7"/>
      <color indexed="10"/>
      <name val="Arial Narrow"/>
      <family val="2"/>
    </font>
    <font>
      <u/>
      <sz val="7"/>
      <color indexed="12"/>
      <name val="Calibri"/>
      <family val="2"/>
      <scheme val="minor"/>
    </font>
    <font>
      <vertAlign val="superscript"/>
      <sz val="6"/>
      <color rgb="FF000000"/>
      <name val="Calibri"/>
      <family val="2"/>
      <scheme val="minor"/>
    </font>
    <font>
      <sz val="6"/>
      <color rgb="FF000000"/>
      <name val="Calibri"/>
      <family val="2"/>
      <scheme val="minor"/>
    </font>
    <font>
      <b/>
      <i/>
      <sz val="11"/>
      <color rgb="FF0000CC"/>
      <name val="Calibri"/>
      <family val="2"/>
      <scheme val="minor"/>
    </font>
    <font>
      <sz val="7"/>
      <color rgb="FF0000FF"/>
      <name val="Calibri"/>
      <family val="2"/>
      <scheme val="minor"/>
    </font>
    <font>
      <b/>
      <i/>
      <sz val="12"/>
      <name val="Arial"/>
      <family val="2"/>
    </font>
    <font>
      <sz val="12"/>
      <name val="Arial"/>
      <family val="2"/>
    </font>
    <font>
      <sz val="8"/>
      <name val="Arial"/>
      <family val="1"/>
      <charset val="2"/>
    </font>
    <font>
      <b/>
      <sz val="7"/>
      <color rgb="FF0000FF"/>
      <name val="Arial Black"/>
      <family val="2"/>
    </font>
    <font>
      <b/>
      <sz val="12"/>
      <color rgb="FF0000FF"/>
      <name val="Arial"/>
      <family val="2"/>
    </font>
    <font>
      <sz val="8"/>
      <color rgb="FF0000FF"/>
      <name val="Arial"/>
      <family val="2"/>
    </font>
    <font>
      <b/>
      <sz val="8"/>
      <color rgb="FF3333FF"/>
      <name val="Calibri"/>
      <family val="2"/>
      <scheme val="minor"/>
    </font>
    <font>
      <i/>
      <sz val="5"/>
      <color theme="0" tint="-0.249977111117893"/>
      <name val="Arial"/>
      <family val="2"/>
    </font>
    <font>
      <i/>
      <sz val="4"/>
      <color theme="0" tint="-0.249977111117893"/>
      <name val="Arial"/>
      <family val="2"/>
    </font>
    <font>
      <i/>
      <sz val="7"/>
      <color rgb="FF0000FF"/>
      <name val="Arial"/>
      <family val="2"/>
    </font>
    <font>
      <sz val="7"/>
      <name val="Arial Narrow"/>
      <family val="2"/>
    </font>
    <font>
      <b/>
      <vertAlign val="subscript"/>
      <sz val="6"/>
      <color theme="0" tint="-0.249977111117893"/>
      <name val="Arial"/>
      <family val="2"/>
    </font>
    <font>
      <b/>
      <sz val="8"/>
      <color theme="0"/>
      <name val="Arial"/>
      <family val="2"/>
    </font>
    <font>
      <b/>
      <sz val="9"/>
      <color rgb="FFFF0000"/>
      <name val="Calibri"/>
      <family val="2"/>
      <scheme val="minor"/>
    </font>
    <font>
      <b/>
      <i/>
      <sz val="8"/>
      <color rgb="FF0000FF"/>
      <name val="Arial"/>
      <family val="2"/>
    </font>
    <font>
      <sz val="8"/>
      <color rgb="FFFF0000"/>
      <name val="Calibri"/>
      <family val="2"/>
      <scheme val="minor"/>
    </font>
    <font>
      <b/>
      <sz val="8"/>
      <color rgb="FF0000FF"/>
      <name val="Arial"/>
      <family val="2"/>
    </font>
    <font>
      <vertAlign val="subscript"/>
      <sz val="8"/>
      <color rgb="FF0000FF"/>
      <name val="Arial"/>
      <family val="2"/>
    </font>
    <font>
      <sz val="11"/>
      <color rgb="FF0000FF"/>
      <name val="Arial"/>
      <family val="2"/>
    </font>
    <font>
      <i/>
      <u/>
      <sz val="8"/>
      <color rgb="FF0000FF"/>
      <name val="Arial"/>
      <family val="2"/>
    </font>
    <font>
      <i/>
      <sz val="8"/>
      <color rgb="FF0000FF"/>
      <name val="Arial"/>
      <family val="2"/>
    </font>
    <font>
      <sz val="9"/>
      <color rgb="FF0000CC"/>
      <name val="Consolas"/>
      <family val="3"/>
    </font>
    <font>
      <b/>
      <sz val="6"/>
      <name val="Calibri"/>
      <family val="2"/>
      <scheme val="minor"/>
    </font>
    <font>
      <vertAlign val="superscript"/>
      <sz val="8"/>
      <name val="Calibri"/>
      <family val="2"/>
      <scheme val="minor"/>
    </font>
    <font>
      <i/>
      <sz val="8"/>
      <color rgb="FFFF0000"/>
      <name val="Calibri"/>
      <family val="2"/>
      <scheme val="minor"/>
    </font>
    <font>
      <b/>
      <sz val="8"/>
      <color rgb="FF0000FF"/>
      <name val="Calibri"/>
      <family val="2"/>
      <scheme val="minor"/>
    </font>
    <font>
      <b/>
      <i/>
      <u/>
      <sz val="7"/>
      <color rgb="FF0000FF"/>
      <name val="Calibri"/>
      <family val="2"/>
      <scheme val="minor"/>
    </font>
    <font>
      <sz val="8"/>
      <name val="Consolas"/>
      <family val="3"/>
    </font>
    <font>
      <sz val="8"/>
      <color theme="0" tint="-0.34998626667073579"/>
      <name val="Arial"/>
      <family val="2"/>
    </font>
    <font>
      <vertAlign val="subscript"/>
      <sz val="8"/>
      <color theme="0" tint="-0.34998626667073579"/>
      <name val="Arial"/>
      <family val="2"/>
    </font>
    <font>
      <sz val="11"/>
      <color theme="0" tint="-0.34998626667073579"/>
      <name val="Arial"/>
      <family val="2"/>
    </font>
    <font>
      <sz val="9"/>
      <color theme="0" tint="-0.34998626667073579"/>
      <name val="Arial"/>
      <family val="2"/>
    </font>
    <font>
      <i/>
      <sz val="9"/>
      <color theme="0" tint="-0.34998626667073579"/>
      <name val="Arial"/>
      <family val="2"/>
    </font>
    <font>
      <sz val="6"/>
      <color theme="1"/>
      <name val="Calibri"/>
      <family val="2"/>
      <scheme val="minor"/>
    </font>
    <font>
      <vertAlign val="subscript"/>
      <sz val="7"/>
      <color theme="0" tint="-0.249977111117893"/>
      <name val="Calibri"/>
      <family val="2"/>
      <scheme val="minor"/>
    </font>
    <font>
      <vertAlign val="superscript"/>
      <sz val="7"/>
      <color theme="0" tint="-0.249977111117893"/>
      <name val="Calibri"/>
      <family val="2"/>
      <scheme val="minor"/>
    </font>
    <font>
      <sz val="11"/>
      <color theme="0" tint="-0.249977111117893"/>
      <name val="Calibri"/>
      <family val="2"/>
      <scheme val="minor"/>
    </font>
    <font>
      <i/>
      <sz val="7"/>
      <color theme="0" tint="-0.249977111117893"/>
      <name val="Calibri"/>
      <family val="2"/>
      <scheme val="minor"/>
    </font>
    <font>
      <u/>
      <sz val="8"/>
      <color rgb="FF0000FF"/>
      <name val="Arial"/>
      <family val="2"/>
    </font>
    <font>
      <i/>
      <u/>
      <sz val="10"/>
      <color rgb="FF0000FF"/>
      <name val="Arial"/>
      <family val="2"/>
    </font>
    <font>
      <b/>
      <i/>
      <sz val="8"/>
      <color rgb="FF3333FF"/>
      <name val="Calibri"/>
      <family val="2"/>
      <scheme val="minor"/>
    </font>
    <font>
      <vertAlign val="superscript"/>
      <sz val="8"/>
      <color theme="0" tint="-0.34998626667073579"/>
      <name val="Arial"/>
      <family val="2"/>
    </font>
    <font>
      <i/>
      <sz val="7"/>
      <name val="Calibri"/>
      <family val="2"/>
      <scheme val="minor"/>
    </font>
    <font>
      <b/>
      <sz val="7"/>
      <color rgb="FF0000FF"/>
      <name val="Arial"/>
      <family val="2"/>
    </font>
    <font>
      <b/>
      <sz val="6"/>
      <color rgb="FF0000FF"/>
      <name val="Arial"/>
      <family val="2"/>
    </font>
    <font>
      <u/>
      <sz val="6"/>
      <color rgb="FF0000FF"/>
      <name val="Arial"/>
      <family val="2"/>
    </font>
    <font>
      <b/>
      <i/>
      <sz val="11"/>
      <color rgb="FF0000FF"/>
      <name val="Arial"/>
      <family val="2"/>
    </font>
    <font>
      <b/>
      <i/>
      <u/>
      <sz val="11"/>
      <color rgb="FF0000FF"/>
      <name val="Arial"/>
      <family val="2"/>
    </font>
    <font>
      <b/>
      <sz val="12"/>
      <color theme="0"/>
      <name val="Consolas"/>
      <family val="3"/>
    </font>
    <font>
      <sz val="8"/>
      <color rgb="FF0066FF"/>
      <name val="Arial Narrow"/>
      <family val="2"/>
    </font>
    <font>
      <i/>
      <sz val="8"/>
      <color rgb="FF0066FF"/>
      <name val="Calibri"/>
      <family val="2"/>
      <scheme val="minor"/>
    </font>
    <font>
      <sz val="8"/>
      <name val="Arial Narrow"/>
      <family val="2"/>
    </font>
  </fonts>
  <fills count="3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theme="2"/>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E7FFFF"/>
        <bgColor indexed="64"/>
      </patternFill>
    </fill>
    <fill>
      <patternFill patternType="solid">
        <fgColor theme="9" tint="0.79998168889431442"/>
        <bgColor indexed="64"/>
      </patternFill>
    </fill>
    <fill>
      <patternFill patternType="solid">
        <fgColor rgb="FFFFFFE1"/>
        <bgColor indexed="64"/>
      </patternFill>
    </fill>
    <fill>
      <patternFill patternType="solid">
        <fgColor theme="0"/>
        <bgColor indexed="64"/>
      </patternFill>
    </fill>
    <fill>
      <patternFill patternType="solid">
        <fgColor rgb="FFFFF5EB"/>
        <bgColor indexed="64"/>
      </patternFill>
    </fill>
    <fill>
      <patternFill patternType="solid">
        <fgColor rgb="FFF2F2F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DE9D9"/>
        <bgColor indexed="64"/>
      </patternFill>
    </fill>
    <fill>
      <patternFill patternType="solid">
        <fgColor rgb="FFFFFFF3"/>
        <bgColor indexed="64"/>
      </patternFill>
    </fill>
    <fill>
      <patternFill patternType="solid">
        <fgColor rgb="FFFFFFC1"/>
        <bgColor indexed="64"/>
      </patternFill>
    </fill>
    <fill>
      <patternFill patternType="solid">
        <fgColor rgb="FFFEFFF3"/>
        <bgColor indexed="64"/>
      </patternFill>
    </fill>
    <fill>
      <patternFill patternType="solid">
        <fgColor rgb="FFFDFFE7"/>
        <bgColor indexed="64"/>
      </patternFill>
    </fill>
    <fill>
      <patternFill patternType="solid">
        <fgColor rgb="FFFEFFEB"/>
        <bgColor indexed="64"/>
      </patternFill>
    </fill>
    <fill>
      <patternFill patternType="solid">
        <fgColor rgb="FFEBF1DE"/>
        <bgColor indexed="64"/>
      </patternFill>
    </fill>
    <fill>
      <patternFill patternType="solid">
        <fgColor theme="4" tint="0.59999389629810485"/>
        <bgColor indexed="64"/>
      </patternFill>
    </fill>
    <fill>
      <patternFill patternType="solid">
        <fgColor rgb="FFFEFDF3"/>
        <bgColor indexed="64"/>
      </patternFill>
    </fill>
    <fill>
      <patternFill patternType="solid">
        <fgColor rgb="FFFFFFFF"/>
        <bgColor indexed="64"/>
      </patternFill>
    </fill>
    <fill>
      <patternFill patternType="solid">
        <fgColor rgb="FFDFF4FD"/>
        <bgColor indexed="64"/>
      </patternFill>
    </fill>
    <fill>
      <patternFill patternType="solid">
        <fgColor rgb="FFC1E9FB"/>
        <bgColor indexed="64"/>
      </patternFill>
    </fill>
    <fill>
      <patternFill patternType="solid">
        <fgColor rgb="FFE7F6FD"/>
        <bgColor indexed="64"/>
      </patternFill>
    </fill>
    <fill>
      <patternFill patternType="solid">
        <fgColor theme="9" tint="0.59999389629810485"/>
        <bgColor indexed="64"/>
      </patternFill>
    </fill>
    <fill>
      <patternFill patternType="solid">
        <fgColor rgb="FFFBF3F3"/>
        <bgColor indexed="64"/>
      </patternFill>
    </fill>
    <fill>
      <patternFill patternType="solid">
        <fgColor rgb="FFC8ECFC"/>
        <bgColor indexed="64"/>
      </patternFill>
    </fill>
    <fill>
      <patternFill patternType="solid">
        <fgColor rgb="FFEEECE1"/>
        <bgColor indexed="64"/>
      </patternFill>
    </fill>
    <fill>
      <patternFill patternType="solid">
        <fgColor rgb="FFEDF7FD"/>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rgb="FFFFFF00"/>
        <bgColor indexed="64"/>
      </patternFill>
    </fill>
  </fills>
  <borders count="24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top style="thin">
        <color indexed="64"/>
      </top>
      <bottom style="thin">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bottom/>
      <diagonal/>
    </border>
    <border>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thin">
        <color indexed="64"/>
      </right>
      <top style="thin">
        <color indexed="64"/>
      </top>
      <bottom style="thin">
        <color indexed="64"/>
      </bottom>
      <diagonal/>
    </border>
    <border>
      <left style="hair">
        <color indexed="64"/>
      </left>
      <right/>
      <top style="hair">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style="hair">
        <color indexed="64"/>
      </bottom>
      <diagonal/>
    </border>
    <border>
      <left style="hair">
        <color indexed="64"/>
      </left>
      <right/>
      <top style="double">
        <color indexed="64"/>
      </top>
      <bottom style="hair">
        <color indexed="64"/>
      </bottom>
      <diagonal/>
    </border>
    <border>
      <left style="thin">
        <color indexed="64"/>
      </left>
      <right style="hair">
        <color indexed="64"/>
      </right>
      <top/>
      <bottom style="thin">
        <color indexed="64"/>
      </bottom>
      <diagonal/>
    </border>
    <border>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hair">
        <color indexed="64"/>
      </top>
      <bottom style="thin">
        <color indexed="64"/>
      </bottom>
      <diagonal/>
    </border>
    <border>
      <left style="hair">
        <color indexed="64"/>
      </left>
      <right/>
      <top style="hair">
        <color indexed="64"/>
      </top>
      <bottom/>
      <diagonal/>
    </border>
    <border>
      <left style="medium">
        <color indexed="64"/>
      </left>
      <right/>
      <top style="medium">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medium">
        <color indexed="64"/>
      </left>
      <right/>
      <top/>
      <bottom style="double">
        <color indexed="64"/>
      </bottom>
      <diagonal/>
    </border>
    <border>
      <left style="thin">
        <color indexed="64"/>
      </left>
      <right style="hair">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hair">
        <color indexed="64"/>
      </top>
      <bottom style="thin">
        <color indexed="64"/>
      </bottom>
      <diagonal/>
    </border>
    <border>
      <left/>
      <right/>
      <top style="medium">
        <color indexed="64"/>
      </top>
      <bottom style="medium">
        <color indexed="64"/>
      </bottom>
      <diagonal/>
    </border>
    <border>
      <left style="hair">
        <color indexed="64"/>
      </left>
      <right/>
      <top/>
      <bottom style="medium">
        <color indexed="64"/>
      </bottom>
      <diagonal/>
    </border>
    <border>
      <left style="thin">
        <color indexed="64"/>
      </left>
      <right/>
      <top style="hair">
        <color indexed="64"/>
      </top>
      <bottom style="medium">
        <color indexed="64"/>
      </bottom>
      <diagonal/>
    </border>
    <border>
      <left/>
      <right style="thin">
        <color indexed="64"/>
      </right>
      <top style="medium">
        <color indexed="64"/>
      </top>
      <bottom/>
      <diagonal/>
    </border>
    <border>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hair">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double">
        <color indexed="64"/>
      </bottom>
      <diagonal/>
    </border>
    <border>
      <left style="hair">
        <color indexed="64"/>
      </left>
      <right style="thin">
        <color indexed="64"/>
      </right>
      <top/>
      <bottom style="thin">
        <color indexed="64"/>
      </bottom>
      <diagonal/>
    </border>
    <border>
      <left/>
      <right/>
      <top style="hair">
        <color indexed="64"/>
      </top>
      <bottom/>
      <diagonal/>
    </border>
    <border diagonalDown="1">
      <left style="thin">
        <color indexed="64"/>
      </left>
      <right style="thin">
        <color indexed="64"/>
      </right>
      <top/>
      <bottom/>
      <diagonal style="hair">
        <color indexed="64"/>
      </diagonal>
    </border>
    <border>
      <left/>
      <right/>
      <top style="medium">
        <color indexed="64"/>
      </top>
      <bottom style="thin">
        <color indexed="64"/>
      </bottom>
      <diagonal/>
    </border>
    <border>
      <left/>
      <right style="medium">
        <color indexed="64"/>
      </right>
      <top style="hair">
        <color indexed="64"/>
      </top>
      <bottom/>
      <diagonal/>
    </border>
    <border>
      <left style="thin">
        <color indexed="64"/>
      </left>
      <right/>
      <top style="hair">
        <color indexed="64"/>
      </top>
      <bottom style="double">
        <color indexed="64"/>
      </bottom>
      <diagonal/>
    </border>
    <border>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thin">
        <color indexed="64"/>
      </left>
      <right style="hair">
        <color indexed="64"/>
      </right>
      <top/>
      <bottom style="hair">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diagonal/>
    </border>
    <border>
      <left/>
      <right style="thin">
        <color indexed="64"/>
      </right>
      <top/>
      <bottom style="double">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top/>
      <bottom style="double">
        <color indexed="64"/>
      </bottom>
      <diagonal/>
    </border>
    <border>
      <left style="hair">
        <color indexed="64"/>
      </left>
      <right style="hair">
        <color indexed="64"/>
      </right>
      <top/>
      <bottom style="double">
        <color indexed="64"/>
      </bottom>
      <diagonal/>
    </border>
    <border>
      <left/>
      <right style="medium">
        <color indexed="64"/>
      </right>
      <top style="thin">
        <color indexed="64"/>
      </top>
      <bottom/>
      <diagonal/>
    </border>
    <border>
      <left/>
      <right style="medium">
        <color indexed="64"/>
      </right>
      <top/>
      <bottom style="double">
        <color indexed="64"/>
      </bottom>
      <diagonal/>
    </border>
    <border>
      <left/>
      <right style="hair">
        <color indexed="64"/>
      </right>
      <top style="thin">
        <color indexed="64"/>
      </top>
      <bottom style="double">
        <color indexed="64"/>
      </bottom>
      <diagonal/>
    </border>
    <border>
      <left/>
      <right style="hair">
        <color indexed="64"/>
      </right>
      <top style="thin">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right style="hair">
        <color indexed="64"/>
      </right>
      <top/>
      <bottom style="double">
        <color indexed="64"/>
      </bottom>
      <diagonal/>
    </border>
    <border>
      <left style="hair">
        <color indexed="64"/>
      </left>
      <right/>
      <top/>
      <bottom style="double">
        <color indexed="64"/>
      </bottom>
      <diagonal/>
    </border>
    <border>
      <left style="hair">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hair">
        <color indexed="64"/>
      </bottom>
      <diagonal/>
    </border>
    <border>
      <left/>
      <right style="hair">
        <color indexed="64"/>
      </right>
      <top/>
      <bottom style="medium">
        <color indexed="64"/>
      </bottom>
      <diagonal/>
    </border>
    <border>
      <left/>
      <right style="thin">
        <color indexed="64"/>
      </right>
      <top style="medium">
        <color indexed="64"/>
      </top>
      <bottom style="hair">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medium">
        <color indexed="64"/>
      </top>
      <bottom style="hair">
        <color indexed="64"/>
      </bottom>
      <diagonal/>
    </border>
    <border>
      <left style="hair">
        <color indexed="64"/>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medium">
        <color indexed="64"/>
      </top>
      <bottom style="hair">
        <color indexed="64"/>
      </bottom>
      <diagonal/>
    </border>
    <border>
      <left style="thin">
        <color indexed="64"/>
      </left>
      <right style="thin">
        <color indexed="64"/>
      </right>
      <top style="medium">
        <color indexed="64"/>
      </top>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top/>
      <bottom style="double">
        <color indexed="64"/>
      </bottom>
      <diagonal/>
    </border>
    <border>
      <left/>
      <right style="medium">
        <color indexed="64"/>
      </right>
      <top style="thin">
        <color indexed="64"/>
      </top>
      <bottom style="double">
        <color indexed="64"/>
      </bottom>
      <diagonal/>
    </border>
    <border>
      <left/>
      <right/>
      <top style="thin">
        <color indexed="64"/>
      </top>
      <bottom style="medium">
        <color indexed="64"/>
      </bottom>
      <diagonal/>
    </border>
    <border>
      <left style="hair">
        <color indexed="64"/>
      </left>
      <right style="hair">
        <color indexed="64"/>
      </right>
      <top style="hair">
        <color indexed="64"/>
      </top>
      <bottom style="double">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right style="dotted">
        <color indexed="64"/>
      </right>
      <top/>
      <bottom/>
      <diagonal/>
    </border>
    <border>
      <left/>
      <right style="dotted">
        <color indexed="64"/>
      </right>
      <top/>
      <bottom style="medium">
        <color indexed="64"/>
      </bottom>
      <diagonal/>
    </border>
    <border>
      <left/>
      <right/>
      <top style="medium">
        <color indexed="64"/>
      </top>
      <bottom/>
      <diagonal/>
    </border>
    <border>
      <left/>
      <right style="double">
        <color indexed="64"/>
      </right>
      <top/>
      <bottom style="thin">
        <color indexed="64"/>
      </bottom>
      <diagonal/>
    </border>
    <border>
      <left/>
      <right style="double">
        <color indexed="64"/>
      </right>
      <top/>
      <bottom style="hair">
        <color indexed="64"/>
      </bottom>
      <diagonal/>
    </border>
    <border>
      <left/>
      <right style="double">
        <color indexed="64"/>
      </right>
      <top style="thin">
        <color indexed="64"/>
      </top>
      <bottom/>
      <diagonal/>
    </border>
    <border>
      <left/>
      <right style="double">
        <color indexed="64"/>
      </right>
      <top/>
      <bottom/>
      <diagonal/>
    </border>
    <border>
      <left style="double">
        <color indexed="64"/>
      </left>
      <right/>
      <top style="thin">
        <color indexed="64"/>
      </top>
      <bottom/>
      <diagonal/>
    </border>
    <border>
      <left style="double">
        <color indexed="64"/>
      </left>
      <right style="hair">
        <color indexed="64"/>
      </right>
      <top/>
      <bottom style="thin">
        <color indexed="64"/>
      </bottom>
      <diagonal/>
    </border>
    <border>
      <left style="double">
        <color indexed="64"/>
      </left>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top/>
      <bottom style="hair">
        <color indexed="64"/>
      </bottom>
      <diagonal/>
    </border>
    <border>
      <left/>
      <right style="double">
        <color indexed="64"/>
      </right>
      <top style="hair">
        <color indexed="64"/>
      </top>
      <bottom style="thin">
        <color indexed="64"/>
      </bottom>
      <diagonal/>
    </border>
    <border>
      <left style="double">
        <color indexed="64"/>
      </left>
      <right style="hair">
        <color indexed="64"/>
      </right>
      <top style="thin">
        <color indexed="64"/>
      </top>
      <bottom/>
      <diagonal/>
    </border>
    <border>
      <left/>
      <right style="double">
        <color indexed="64"/>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bottom/>
      <diagonal/>
    </border>
    <border>
      <left style="double">
        <color indexed="64"/>
      </left>
      <right/>
      <top style="thin">
        <color indexed="64"/>
      </top>
      <bottom style="hair">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style="medium">
        <color indexed="64"/>
      </right>
      <top style="dotted">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style="medium">
        <color indexed="64"/>
      </right>
      <top/>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thin">
        <color indexed="64"/>
      </right>
      <top/>
      <bottom style="medium">
        <color indexed="64"/>
      </bottom>
      <diagonal/>
    </border>
    <border>
      <left/>
      <right style="double">
        <color indexed="64"/>
      </right>
      <top style="hair">
        <color indexed="64"/>
      </top>
      <bottom style="hair">
        <color indexed="64"/>
      </bottom>
      <diagonal/>
    </border>
    <border>
      <left style="thin">
        <color indexed="64"/>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theme="4"/>
      </bottom>
      <diagonal/>
    </border>
    <border>
      <left/>
      <right style="thin">
        <color theme="1"/>
      </right>
      <top/>
      <bottom/>
      <diagonal/>
    </border>
    <border>
      <left style="double">
        <color indexed="64"/>
      </left>
      <right style="hair">
        <color indexed="64"/>
      </right>
      <top/>
      <bottom/>
      <diagonal/>
    </border>
    <border>
      <left style="double">
        <color indexed="64"/>
      </left>
      <right style="hair">
        <color indexed="64"/>
      </right>
      <top/>
      <bottom style="double">
        <color indexed="64"/>
      </bottom>
      <diagonal/>
    </border>
    <border>
      <left/>
      <right style="double">
        <color indexed="64"/>
      </right>
      <top style="hair">
        <color indexed="64"/>
      </top>
      <bottom style="double">
        <color indexed="64"/>
      </bottom>
      <diagonal/>
    </border>
    <border>
      <left style="hair">
        <color indexed="64"/>
      </left>
      <right style="hair">
        <color indexed="64"/>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top/>
      <bottom style="medium">
        <color indexed="64"/>
      </bottom>
      <diagonal/>
    </border>
    <border>
      <left style="thin">
        <color indexed="64"/>
      </left>
      <right style="hair">
        <color indexed="64"/>
      </right>
      <top/>
      <bottom style="double">
        <color indexed="64"/>
      </bottom>
      <diagonal/>
    </border>
    <border>
      <left style="hair">
        <color indexed="64"/>
      </left>
      <right style="thin">
        <color indexed="64"/>
      </right>
      <top style="hair">
        <color indexed="64"/>
      </top>
      <bottom/>
      <diagonal/>
    </border>
    <border>
      <left style="thin">
        <color indexed="64"/>
      </left>
      <right/>
      <top style="double">
        <color indexed="64"/>
      </top>
      <bottom style="hair">
        <color indexed="64"/>
      </bottom>
      <diagonal/>
    </border>
    <border>
      <left style="medium">
        <color indexed="64"/>
      </left>
      <right style="medium">
        <color auto="1"/>
      </right>
      <top/>
      <bottom/>
      <diagonal/>
    </border>
    <border>
      <left style="medium">
        <color indexed="64"/>
      </left>
      <right style="medium">
        <color auto="1"/>
      </right>
      <top/>
      <bottom style="hair">
        <color indexed="64"/>
      </bottom>
      <diagonal/>
    </border>
    <border diagonalUp="1">
      <left style="medium">
        <color indexed="64"/>
      </left>
      <right style="medium">
        <color auto="1"/>
      </right>
      <top/>
      <bottom/>
      <diagonal style="thin">
        <color indexed="64"/>
      </diagonal>
    </border>
    <border>
      <left style="medium">
        <color indexed="64"/>
      </left>
      <right style="medium">
        <color auto="1"/>
      </right>
      <top style="hair">
        <color indexed="64"/>
      </top>
      <bottom style="hair">
        <color indexed="64"/>
      </bottom>
      <diagonal/>
    </border>
    <border diagonalDown="1">
      <left style="medium">
        <color indexed="64"/>
      </left>
      <right style="medium">
        <color auto="1"/>
      </right>
      <top/>
      <bottom/>
      <diagonal style="hair">
        <color indexed="64"/>
      </diagonal>
    </border>
    <border diagonalDown="1">
      <left/>
      <right style="medium">
        <color auto="1"/>
      </right>
      <top/>
      <bottom/>
      <diagonal style="hair">
        <color indexed="64"/>
      </diagonal>
    </border>
    <border>
      <left/>
      <right style="double">
        <color indexed="64"/>
      </right>
      <top/>
      <bottom style="double">
        <color indexed="64"/>
      </bottom>
      <diagonal/>
    </border>
    <border>
      <left style="medium">
        <color indexed="64"/>
      </left>
      <right/>
      <top style="hair">
        <color indexed="64"/>
      </top>
      <bottom/>
      <diagonal/>
    </border>
    <border diagonalUp="1">
      <left/>
      <right style="double">
        <color indexed="64"/>
      </right>
      <top style="hair">
        <color indexed="64"/>
      </top>
      <bottom/>
      <diagonal style="hair">
        <color indexed="64"/>
      </diagonal>
    </border>
    <border>
      <left style="hair">
        <color indexed="64"/>
      </left>
      <right style="thin">
        <color indexed="64"/>
      </right>
      <top style="hair">
        <color indexed="64"/>
      </top>
      <bottom style="double">
        <color indexed="64"/>
      </bottom>
      <diagonal/>
    </border>
    <border>
      <left style="medium">
        <color auto="1"/>
      </left>
      <right/>
      <top/>
      <bottom style="hair">
        <color indexed="64"/>
      </bottom>
      <diagonal/>
    </border>
    <border>
      <left style="medium">
        <color auto="1"/>
      </left>
      <right/>
      <top style="hair">
        <color indexed="64"/>
      </top>
      <bottom style="hair">
        <color indexed="64"/>
      </bottom>
      <diagonal/>
    </border>
    <border>
      <left style="medium">
        <color indexed="64"/>
      </left>
      <right/>
      <top style="medium">
        <color indexed="64"/>
      </top>
      <bottom/>
      <diagonal/>
    </border>
    <border>
      <left style="medium">
        <color indexed="64"/>
      </left>
      <right/>
      <top style="hair">
        <color indexed="64"/>
      </top>
      <bottom style="medium">
        <color indexed="64"/>
      </bottom>
      <diagonal/>
    </border>
    <border>
      <left style="thin">
        <color indexed="64"/>
      </left>
      <right style="hair">
        <color indexed="64"/>
      </right>
      <top/>
      <bottom style="medium">
        <color indexed="64"/>
      </bottom>
      <diagonal/>
    </border>
    <border diagonalUp="1">
      <left/>
      <right style="medium">
        <color auto="1"/>
      </right>
      <top/>
      <bottom/>
      <diagonal style="hair">
        <color indexed="64"/>
      </diagonal>
    </border>
    <border>
      <left style="medium">
        <color indexed="64"/>
      </left>
      <right/>
      <top style="thin">
        <color indexed="64"/>
      </top>
      <bottom style="thin">
        <color indexed="64"/>
      </bottom>
      <diagonal/>
    </border>
    <border>
      <left style="thin">
        <color indexed="64"/>
      </left>
      <right style="hair">
        <color indexed="64"/>
      </right>
      <top style="hair">
        <color indexed="64"/>
      </top>
      <bottom style="double">
        <color indexed="64"/>
      </bottom>
      <diagonal/>
    </border>
    <border>
      <left style="thin">
        <color rgb="FFFF0000"/>
      </left>
      <right style="thin">
        <color rgb="FFFF0000"/>
      </right>
      <top style="thin">
        <color rgb="FFFF0000"/>
      </top>
      <bottom style="thin">
        <color rgb="FFFF0000"/>
      </bottom>
      <diagonal/>
    </border>
    <border>
      <left style="thin">
        <color indexed="64"/>
      </left>
      <right/>
      <top style="thin">
        <color rgb="FFFF0000"/>
      </top>
      <bottom/>
      <diagonal/>
    </border>
    <border>
      <left style="hair">
        <color indexed="64"/>
      </left>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thin">
        <color rgb="FF0000FF"/>
      </left>
      <right/>
      <top style="thin">
        <color rgb="FF0000FF"/>
      </top>
      <bottom style="thin">
        <color rgb="FF0000FF"/>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thin">
        <color rgb="FF0000FF"/>
      </top>
      <bottom style="thin">
        <color rgb="FF0000FF"/>
      </bottom>
      <diagonal/>
    </border>
  </borders>
  <cellStyleXfs count="4">
    <xf numFmtId="0" fontId="0" fillId="0" borderId="0"/>
    <xf numFmtId="0" fontId="7" fillId="0" borderId="0" applyNumberFormat="0" applyFill="0" applyBorder="0" applyAlignment="0" applyProtection="0">
      <alignment vertical="top"/>
      <protection locked="0"/>
    </xf>
    <xf numFmtId="0" fontId="1" fillId="0" borderId="0"/>
    <xf numFmtId="0" fontId="1" fillId="0" borderId="0"/>
  </cellStyleXfs>
  <cellXfs count="3761">
    <xf numFmtId="0" fontId="0" fillId="0" borderId="0" xfId="0"/>
    <xf numFmtId="0" fontId="0" fillId="0" borderId="0" xfId="0" applyAlignment="1">
      <alignment vertical="center"/>
    </xf>
    <xf numFmtId="0" fontId="3" fillId="0" borderId="49" xfId="0" applyFont="1" applyBorder="1" applyAlignment="1">
      <alignment vertical="center" wrapText="1"/>
    </xf>
    <xf numFmtId="0" fontId="1" fillId="0" borderId="0" xfId="0" applyFont="1"/>
    <xf numFmtId="0" fontId="11" fillId="0" borderId="0" xfId="0" applyFont="1"/>
    <xf numFmtId="0" fontId="3" fillId="0" borderId="68" xfId="0" applyFont="1" applyBorder="1" applyAlignment="1">
      <alignment vertical="center" wrapText="1"/>
    </xf>
    <xf numFmtId="0" fontId="3" fillId="0" borderId="92"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45" xfId="0" applyFont="1" applyBorder="1" applyAlignment="1">
      <alignment horizontal="right" vertical="center" wrapText="1"/>
    </xf>
    <xf numFmtId="0" fontId="3" fillId="0" borderId="194" xfId="0" applyFont="1" applyBorder="1" applyAlignment="1">
      <alignment vertical="center" wrapText="1"/>
    </xf>
    <xf numFmtId="0" fontId="0" fillId="0" borderId="195" xfId="0" applyBorder="1" applyAlignment="1">
      <alignment vertical="center"/>
    </xf>
    <xf numFmtId="0" fontId="3" fillId="0" borderId="132" xfId="0" applyFont="1" applyBorder="1" applyAlignment="1">
      <alignment vertical="center" wrapText="1"/>
    </xf>
    <xf numFmtId="0" fontId="3" fillId="0" borderId="63" xfId="0" applyFont="1" applyBorder="1" applyAlignment="1">
      <alignment vertical="center" wrapText="1"/>
    </xf>
    <xf numFmtId="0" fontId="3" fillId="0" borderId="28" xfId="0" applyFont="1" applyBorder="1" applyAlignment="1">
      <alignment horizontal="center" vertical="center" wrapText="1"/>
    </xf>
    <xf numFmtId="0" fontId="3" fillId="0" borderId="0" xfId="0" applyFont="1" applyAlignment="1">
      <alignment horizontal="right" vertical="center" wrapText="1"/>
    </xf>
    <xf numFmtId="0" fontId="3" fillId="0" borderId="163" xfId="0" applyFont="1" applyBorder="1" applyAlignment="1">
      <alignment vertical="center" wrapText="1"/>
    </xf>
    <xf numFmtId="0" fontId="3" fillId="0" borderId="196" xfId="0" applyFont="1" applyBorder="1" applyAlignment="1">
      <alignment horizontal="right" vertical="center" wrapText="1"/>
    </xf>
    <xf numFmtId="0" fontId="0" fillId="0" borderId="69" xfId="0" applyBorder="1" applyAlignment="1">
      <alignment vertical="center" wrapText="1"/>
    </xf>
    <xf numFmtId="0" fontId="3" fillId="0" borderId="24" xfId="0" applyFont="1" applyBorder="1" applyAlignment="1">
      <alignment horizontal="right" vertical="center" wrapText="1"/>
    </xf>
    <xf numFmtId="0" fontId="3" fillId="0" borderId="192" xfId="0" applyFont="1" applyBorder="1" applyAlignment="1">
      <alignment vertical="center" wrapText="1"/>
    </xf>
    <xf numFmtId="0" fontId="3" fillId="0" borderId="191" xfId="0" applyFont="1" applyBorder="1" applyAlignment="1">
      <alignment horizontal="right" vertical="center" wrapText="1"/>
    </xf>
    <xf numFmtId="0" fontId="3" fillId="0" borderId="35" xfId="0" applyFont="1" applyBorder="1" applyAlignment="1">
      <alignment vertical="center" wrapText="1"/>
    </xf>
    <xf numFmtId="0" fontId="0" fillId="0" borderId="63" xfId="0" applyBorder="1" applyAlignment="1">
      <alignment vertical="center" wrapText="1"/>
    </xf>
    <xf numFmtId="0" fontId="3" fillId="0" borderId="191" xfId="0" applyFont="1" applyBorder="1" applyAlignment="1">
      <alignment vertical="center" wrapText="1"/>
    </xf>
    <xf numFmtId="0" fontId="0" fillId="0" borderId="196" xfId="0" applyBorder="1" applyAlignment="1">
      <alignment vertical="center"/>
    </xf>
    <xf numFmtId="0" fontId="3" fillId="0" borderId="28" xfId="0" applyFont="1" applyBorder="1" applyAlignment="1">
      <alignment horizontal="center" vertical="center"/>
    </xf>
    <xf numFmtId="0" fontId="0" fillId="0" borderId="64" xfId="0" applyBorder="1" applyAlignment="1">
      <alignment vertical="center"/>
    </xf>
    <xf numFmtId="0" fontId="3" fillId="0" borderId="57" xfId="0" applyFont="1" applyBorder="1" applyAlignment="1">
      <alignment vertical="center"/>
    </xf>
    <xf numFmtId="0" fontId="3" fillId="0" borderId="164" xfId="0" applyFont="1" applyBorder="1" applyAlignment="1">
      <alignment vertical="center"/>
    </xf>
    <xf numFmtId="0" fontId="3" fillId="0" borderId="67" xfId="0" applyFont="1" applyBorder="1" applyAlignment="1">
      <alignment vertical="center"/>
    </xf>
    <xf numFmtId="0" fontId="3" fillId="0" borderId="192" xfId="0" applyFont="1" applyBorder="1" applyAlignment="1">
      <alignment horizontal="center" vertical="center" wrapText="1"/>
    </xf>
    <xf numFmtId="16" fontId="1" fillId="0" borderId="108" xfId="0" applyNumberFormat="1" applyFont="1" applyBorder="1" applyAlignment="1">
      <alignment horizontal="center" vertical="center" wrapText="1"/>
    </xf>
    <xf numFmtId="0" fontId="1" fillId="0" borderId="22" xfId="0" applyFont="1" applyBorder="1" applyAlignment="1">
      <alignment horizontal="left" vertical="center"/>
    </xf>
    <xf numFmtId="16" fontId="1" fillId="0" borderId="83" xfId="0" applyNumberFormat="1" applyFont="1" applyBorder="1" applyAlignment="1">
      <alignment horizontal="center" vertical="center" wrapText="1"/>
    </xf>
    <xf numFmtId="0" fontId="1" fillId="0" borderId="41" xfId="0" applyFont="1" applyBorder="1" applyAlignment="1">
      <alignment horizontal="left" vertical="center"/>
    </xf>
    <xf numFmtId="0" fontId="1" fillId="0" borderId="17" xfId="0" applyFont="1" applyBorder="1" applyAlignment="1">
      <alignment horizontal="left" vertical="center"/>
    </xf>
    <xf numFmtId="0" fontId="1" fillId="0" borderId="37" xfId="0" applyFont="1" applyBorder="1" applyAlignment="1">
      <alignment horizontal="left" vertical="center"/>
    </xf>
    <xf numFmtId="0" fontId="0" fillId="0" borderId="24" xfId="0" applyBorder="1"/>
    <xf numFmtId="0" fontId="0" fillId="0" borderId="17" xfId="0" applyBorder="1"/>
    <xf numFmtId="0" fontId="1" fillId="0" borderId="17" xfId="0" applyFont="1" applyBorder="1" applyAlignment="1">
      <alignment vertical="center"/>
    </xf>
    <xf numFmtId="0" fontId="26" fillId="0" borderId="0" xfId="0" applyFont="1" applyAlignment="1">
      <alignment horizontal="left" vertical="center"/>
    </xf>
    <xf numFmtId="0" fontId="1" fillId="0" borderId="108" xfId="0" applyFont="1" applyBorder="1" applyAlignment="1">
      <alignment horizontal="center"/>
    </xf>
    <xf numFmtId="0" fontId="0" fillId="0" borderId="41" xfId="0" applyBorder="1"/>
    <xf numFmtId="0" fontId="0" fillId="0" borderId="37" xfId="0" applyBorder="1"/>
    <xf numFmtId="0" fontId="49" fillId="0" borderId="0" xfId="0" applyFont="1" applyAlignment="1">
      <alignment horizontal="center"/>
    </xf>
    <xf numFmtId="0" fontId="3" fillId="0" borderId="197" xfId="0" applyFont="1" applyBorder="1" applyAlignment="1">
      <alignment horizontal="center" vertical="top"/>
    </xf>
    <xf numFmtId="0" fontId="3" fillId="0" borderId="63"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45" xfId="0" applyFont="1" applyBorder="1" applyAlignment="1">
      <alignment horizontal="center" vertical="center"/>
    </xf>
    <xf numFmtId="0" fontId="3" fillId="0" borderId="132" xfId="0" applyFont="1" applyBorder="1" applyAlignment="1">
      <alignment horizontal="center" vertical="center"/>
    </xf>
    <xf numFmtId="0" fontId="3" fillId="0" borderId="49" xfId="0" applyFont="1" applyBorder="1" applyAlignment="1">
      <alignment horizontal="center" vertical="center" wrapText="1"/>
    </xf>
    <xf numFmtId="0" fontId="3" fillId="0" borderId="49" xfId="0" applyFont="1" applyBorder="1" applyAlignment="1">
      <alignment horizontal="center" vertical="center"/>
    </xf>
    <xf numFmtId="0" fontId="96" fillId="0" borderId="0" xfId="0" applyFont="1" applyAlignment="1">
      <alignment vertical="top" wrapText="1"/>
    </xf>
    <xf numFmtId="0" fontId="11" fillId="0" borderId="0" xfId="2" applyFont="1" applyAlignment="1">
      <alignment vertical="center" wrapText="1"/>
    </xf>
    <xf numFmtId="0" fontId="1" fillId="0" borderId="24" xfId="0" applyFont="1" applyBorder="1" applyAlignment="1">
      <alignment horizontal="left" vertical="center"/>
    </xf>
    <xf numFmtId="0" fontId="3" fillId="0" borderId="194" xfId="0" applyFont="1" applyBorder="1" applyAlignment="1">
      <alignment horizontal="center" vertical="center"/>
    </xf>
    <xf numFmtId="0" fontId="9" fillId="0" borderId="0" xfId="0" applyFont="1" applyAlignment="1">
      <alignment horizontal="left" vertical="center"/>
    </xf>
    <xf numFmtId="0" fontId="9" fillId="0" borderId="0" xfId="0" applyFont="1" applyAlignment="1">
      <alignment vertical="center"/>
    </xf>
    <xf numFmtId="0" fontId="16" fillId="0" borderId="5" xfId="0" applyFont="1" applyBorder="1" applyAlignment="1">
      <alignment vertical="center"/>
    </xf>
    <xf numFmtId="0" fontId="3" fillId="0" borderId="0" xfId="0" applyFont="1" applyAlignment="1">
      <alignment horizontal="right"/>
    </xf>
    <xf numFmtId="0" fontId="1" fillId="0" borderId="0" xfId="0" applyFont="1" applyAlignment="1">
      <alignment vertical="center"/>
    </xf>
    <xf numFmtId="0" fontId="3" fillId="0" borderId="0" xfId="0" applyFont="1" applyAlignment="1">
      <alignment vertical="center"/>
    </xf>
    <xf numFmtId="0" fontId="5" fillId="0" borderId="0" xfId="0" applyFont="1" applyAlignment="1">
      <alignment horizontal="center" vertical="center"/>
    </xf>
    <xf numFmtId="0" fontId="3" fillId="0" borderId="0" xfId="0" applyFont="1" applyAlignment="1">
      <alignment horizontal="right" vertical="center"/>
    </xf>
    <xf numFmtId="0" fontId="16" fillId="0" borderId="0" xfId="0" applyFont="1" applyAlignment="1">
      <alignment vertical="center"/>
    </xf>
    <xf numFmtId="0" fontId="0" fillId="0" borderId="57" xfId="0" applyBorder="1" applyAlignment="1">
      <alignment vertical="center"/>
    </xf>
    <xf numFmtId="0" fontId="68" fillId="0" borderId="63" xfId="1" applyFont="1" applyBorder="1" applyAlignment="1" applyProtection="1">
      <alignment horizontal="center" vertical="center"/>
    </xf>
    <xf numFmtId="0" fontId="3" fillId="0" borderId="0" xfId="0" applyFont="1" applyAlignment="1">
      <alignment vertical="center" wrapText="1"/>
    </xf>
    <xf numFmtId="0" fontId="44" fillId="0" borderId="70" xfId="1" applyFont="1" applyBorder="1" applyAlignment="1" applyProtection="1">
      <alignment horizontal="center" vertical="center"/>
    </xf>
    <xf numFmtId="0" fontId="2" fillId="4" borderId="100" xfId="1" applyFont="1" applyFill="1" applyBorder="1" applyAlignment="1" applyProtection="1">
      <alignment horizontal="center" vertical="center"/>
    </xf>
    <xf numFmtId="0" fontId="44" fillId="0" borderId="84" xfId="1" applyFont="1" applyBorder="1" applyAlignment="1" applyProtection="1">
      <alignment horizontal="center" vertical="center"/>
    </xf>
    <xf numFmtId="0" fontId="16"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32" fillId="0" borderId="0" xfId="0" applyFont="1" applyAlignment="1">
      <alignment horizontal="center" vertical="center"/>
    </xf>
    <xf numFmtId="0" fontId="9" fillId="0" borderId="13" xfId="0" applyFont="1" applyBorder="1" applyAlignment="1">
      <alignment horizontal="center" vertical="center"/>
    </xf>
    <xf numFmtId="0" fontId="0" fillId="0" borderId="0" xfId="0" applyAlignment="1">
      <alignment horizontal="center" vertical="center"/>
    </xf>
    <xf numFmtId="0" fontId="9" fillId="0" borderId="0" xfId="0" applyFont="1" applyAlignment="1">
      <alignment horizontal="right" vertical="center"/>
    </xf>
    <xf numFmtId="0" fontId="44" fillId="0" borderId="88" xfId="1" applyFont="1" applyBorder="1" applyAlignment="1" applyProtection="1">
      <alignment horizontal="center" vertical="center"/>
    </xf>
    <xf numFmtId="0" fontId="9" fillId="0" borderId="0" xfId="0" applyFont="1" applyAlignment="1">
      <alignment horizontal="center" vertical="center"/>
    </xf>
    <xf numFmtId="0" fontId="44" fillId="0" borderId="0" xfId="1" applyFont="1" applyFill="1" applyBorder="1" applyAlignment="1" applyProtection="1">
      <alignment horizontal="center" vertical="center"/>
    </xf>
    <xf numFmtId="0" fontId="76" fillId="0" borderId="16" xfId="0" applyFont="1" applyBorder="1" applyAlignment="1">
      <alignment horizontal="left" vertical="center"/>
    </xf>
    <xf numFmtId="0" fontId="76" fillId="0" borderId="5" xfId="0" applyFont="1" applyBorder="1" applyAlignment="1">
      <alignment horizontal="left" vertical="center"/>
    </xf>
    <xf numFmtId="0" fontId="76" fillId="0" borderId="5" xfId="0" applyFont="1" applyBorder="1" applyAlignment="1">
      <alignment vertical="center"/>
    </xf>
    <xf numFmtId="0" fontId="3" fillId="0" borderId="0" xfId="0" applyFont="1" applyAlignment="1">
      <alignment horizontal="left"/>
    </xf>
    <xf numFmtId="0" fontId="96" fillId="0" borderId="0" xfId="0" applyFont="1" applyAlignment="1">
      <alignment vertical="center" wrapText="1"/>
    </xf>
    <xf numFmtId="0" fontId="96" fillId="0" borderId="0" xfId="0" applyFont="1" applyAlignment="1">
      <alignment horizontal="center" vertical="center" wrapText="1"/>
    </xf>
    <xf numFmtId="0" fontId="35" fillId="0" borderId="0" xfId="0" applyFont="1" applyAlignment="1">
      <alignment horizontal="center" wrapText="1"/>
    </xf>
    <xf numFmtId="0" fontId="35" fillId="0" borderId="0" xfId="0" applyFont="1" applyAlignment="1">
      <alignment horizontal="center" vertical="center" wrapText="1"/>
    </xf>
    <xf numFmtId="0" fontId="100" fillId="0" borderId="0" xfId="0" applyFont="1" applyAlignment="1">
      <alignment horizontal="center" vertical="center"/>
    </xf>
    <xf numFmtId="49" fontId="106" fillId="0" borderId="0" xfId="0" applyNumberFormat="1" applyFont="1" applyAlignment="1">
      <alignment horizontal="center" vertical="center"/>
    </xf>
    <xf numFmtId="0" fontId="106" fillId="0" borderId="0" xfId="0" applyFont="1" applyAlignment="1">
      <alignment horizontal="center" vertical="center" wrapText="1"/>
    </xf>
    <xf numFmtId="0" fontId="11" fillId="0" borderId="0" xfId="0" applyFont="1" applyAlignment="1">
      <alignment vertical="center"/>
    </xf>
    <xf numFmtId="0" fontId="11" fillId="0" borderId="57" xfId="0" applyFont="1" applyBorder="1" applyAlignment="1">
      <alignment vertical="center"/>
    </xf>
    <xf numFmtId="0" fontId="3" fillId="0" borderId="196" xfId="0" applyFont="1" applyBorder="1" applyAlignment="1">
      <alignment horizontal="left" vertical="center"/>
    </xf>
    <xf numFmtId="0" fontId="28" fillId="0" borderId="194" xfId="0" applyFont="1" applyBorder="1" applyAlignment="1">
      <alignment vertical="center" wrapText="1"/>
    </xf>
    <xf numFmtId="0" fontId="28" fillId="0" borderId="163" xfId="0" applyFont="1" applyBorder="1" applyAlignment="1">
      <alignment vertical="center" wrapText="1"/>
    </xf>
    <xf numFmtId="0" fontId="28" fillId="0" borderId="163" xfId="0" applyFont="1" applyBorder="1" applyAlignment="1">
      <alignment horizontal="left" vertical="center" wrapText="1"/>
    </xf>
    <xf numFmtId="0" fontId="250" fillId="0" borderId="0" xfId="0" applyFont="1"/>
    <xf numFmtId="0" fontId="0" fillId="0" borderId="28" xfId="0" applyBorder="1"/>
    <xf numFmtId="0" fontId="254" fillId="0" borderId="0" xfId="0" applyFont="1"/>
    <xf numFmtId="0" fontId="255" fillId="0" borderId="0" xfId="0" applyFont="1"/>
    <xf numFmtId="0" fontId="0" fillId="0" borderId="124" xfId="0" applyBorder="1"/>
    <xf numFmtId="0" fontId="0" fillId="0" borderId="45" xfId="0" applyBorder="1"/>
    <xf numFmtId="0" fontId="0" fillId="0" borderId="92" xfId="0" applyBorder="1"/>
    <xf numFmtId="0" fontId="0" fillId="0" borderId="51" xfId="0" applyBorder="1"/>
    <xf numFmtId="0" fontId="0" fillId="0" borderId="44" xfId="0" applyBorder="1"/>
    <xf numFmtId="0" fontId="0" fillId="0" borderId="22" xfId="0" applyBorder="1"/>
    <xf numFmtId="0" fontId="256" fillId="0" borderId="124" xfId="0" applyFont="1" applyBorder="1" applyAlignment="1">
      <alignment vertical="center"/>
    </xf>
    <xf numFmtId="0" fontId="257" fillId="0" borderId="51" xfId="0" applyFont="1" applyBorder="1" applyAlignment="1">
      <alignment vertical="center"/>
    </xf>
    <xf numFmtId="0" fontId="313" fillId="0" borderId="0" xfId="1" applyFont="1" applyFill="1" applyBorder="1" applyAlignment="1" applyProtection="1">
      <alignment horizontal="left" vertical="center"/>
    </xf>
    <xf numFmtId="0" fontId="156" fillId="0" borderId="0" xfId="0" applyFont="1" applyAlignment="1">
      <alignment vertical="top"/>
    </xf>
    <xf numFmtId="0" fontId="0" fillId="0" borderId="0" xfId="0" applyAlignment="1">
      <alignment vertical="top"/>
    </xf>
    <xf numFmtId="0" fontId="345" fillId="0" borderId="0" xfId="0" applyFont="1"/>
    <xf numFmtId="49" fontId="3" fillId="0" borderId="0" xfId="0" applyNumberFormat="1" applyFont="1"/>
    <xf numFmtId="0" fontId="156" fillId="0" borderId="0" xfId="0" applyFont="1" applyAlignment="1">
      <alignment vertical="center"/>
    </xf>
    <xf numFmtId="0" fontId="3" fillId="0" borderId="0" xfId="0" applyFont="1" applyAlignment="1">
      <alignment horizontal="left" wrapText="1"/>
    </xf>
    <xf numFmtId="0" fontId="3" fillId="0" borderId="0" xfId="0" applyFont="1" applyAlignment="1">
      <alignment horizontal="center" vertical="center" wrapText="1"/>
    </xf>
    <xf numFmtId="0" fontId="2" fillId="0" borderId="0" xfId="0" applyFont="1" applyAlignment="1">
      <alignment horizontal="left" vertical="center"/>
    </xf>
    <xf numFmtId="0" fontId="9" fillId="0" borderId="23" xfId="0" applyFont="1" applyBorder="1" applyAlignment="1">
      <alignment horizontal="center" vertical="center"/>
    </xf>
    <xf numFmtId="164" fontId="116" fillId="25" borderId="199" xfId="0" applyNumberFormat="1" applyFont="1" applyFill="1" applyBorder="1" applyAlignment="1" applyProtection="1">
      <alignment horizontal="center" vertical="center"/>
      <protection locked="0"/>
    </xf>
    <xf numFmtId="0" fontId="2" fillId="25" borderId="26" xfId="0" applyFont="1" applyFill="1" applyBorder="1" applyAlignment="1" applyProtection="1">
      <alignment horizontal="center" vertical="center"/>
      <protection locked="0"/>
    </xf>
    <xf numFmtId="0" fontId="2" fillId="25" borderId="31" xfId="0" applyFont="1" applyFill="1" applyBorder="1" applyAlignment="1" applyProtection="1">
      <alignment horizontal="center" vertical="center"/>
      <protection locked="0"/>
    </xf>
    <xf numFmtId="0" fontId="116" fillId="25" borderId="108" xfId="0" applyFont="1" applyFill="1" applyBorder="1" applyAlignment="1" applyProtection="1">
      <alignment horizontal="center" vertical="center" wrapText="1"/>
      <protection locked="0"/>
    </xf>
    <xf numFmtId="175" fontId="98" fillId="25" borderId="1" xfId="0" applyNumberFormat="1" applyFont="1" applyFill="1" applyBorder="1" applyAlignment="1" applyProtection="1">
      <alignment horizontal="center" vertical="center"/>
      <protection locked="0"/>
    </xf>
    <xf numFmtId="171" fontId="98" fillId="25" borderId="1" xfId="0" applyNumberFormat="1" applyFont="1" applyFill="1" applyBorder="1" applyAlignment="1" applyProtection="1">
      <alignment horizontal="center" vertical="center"/>
      <protection locked="0"/>
    </xf>
    <xf numFmtId="180" fontId="159" fillId="25" borderId="2" xfId="0" applyNumberFormat="1" applyFont="1" applyFill="1" applyBorder="1" applyAlignment="1" applyProtection="1">
      <alignment horizontal="center" vertical="center"/>
      <protection locked="0"/>
    </xf>
    <xf numFmtId="171" fontId="159" fillId="25" borderId="31" xfId="0" applyNumberFormat="1" applyFont="1" applyFill="1" applyBorder="1" applyAlignment="1" applyProtection="1">
      <alignment horizontal="center" vertical="center"/>
      <protection locked="0"/>
    </xf>
    <xf numFmtId="171" fontId="159" fillId="25" borderId="1" xfId="0" applyNumberFormat="1" applyFont="1" applyFill="1" applyBorder="1" applyAlignment="1" applyProtection="1">
      <alignment horizontal="center" vertical="center"/>
      <protection locked="0"/>
    </xf>
    <xf numFmtId="0" fontId="296" fillId="25" borderId="3" xfId="0" applyFont="1" applyFill="1" applyBorder="1" applyAlignment="1" applyProtection="1">
      <alignment horizontal="left" vertical="center"/>
      <protection locked="0"/>
    </xf>
    <xf numFmtId="0" fontId="297" fillId="25" borderId="3" xfId="0" applyFont="1" applyFill="1" applyBorder="1" applyAlignment="1" applyProtection="1">
      <alignment vertical="center"/>
      <protection locked="0"/>
    </xf>
    <xf numFmtId="0" fontId="296" fillId="25" borderId="5" xfId="0" applyFont="1" applyFill="1" applyBorder="1" applyAlignment="1" applyProtection="1">
      <alignment horizontal="left" vertical="center"/>
      <protection locked="0"/>
    </xf>
    <xf numFmtId="0" fontId="297" fillId="25" borderId="5" xfId="0" applyFont="1" applyFill="1" applyBorder="1" applyAlignment="1" applyProtection="1">
      <alignment vertical="center"/>
      <protection locked="0"/>
    </xf>
    <xf numFmtId="0" fontId="300" fillId="25" borderId="5" xfId="0" applyFont="1" applyFill="1" applyBorder="1" applyAlignment="1" applyProtection="1">
      <alignment vertical="center"/>
      <protection locked="0"/>
    </xf>
    <xf numFmtId="0" fontId="297" fillId="25" borderId="8" xfId="0" applyFont="1" applyFill="1" applyBorder="1" applyAlignment="1" applyProtection="1">
      <alignment vertical="center"/>
      <protection locked="0"/>
    </xf>
    <xf numFmtId="0" fontId="297" fillId="25" borderId="13" xfId="0" applyFont="1" applyFill="1" applyBorder="1" applyAlignment="1" applyProtection="1">
      <alignment vertical="center"/>
      <protection locked="0"/>
    </xf>
    <xf numFmtId="0" fontId="296" fillId="25" borderId="5" xfId="0" applyFont="1" applyFill="1" applyBorder="1" applyAlignment="1" applyProtection="1">
      <alignment vertical="center"/>
      <protection locked="0"/>
    </xf>
    <xf numFmtId="0" fontId="297" fillId="25" borderId="8" xfId="0" applyFont="1" applyFill="1" applyBorder="1" applyAlignment="1" applyProtection="1">
      <alignment horizontal="left" vertical="center"/>
      <protection locked="0"/>
    </xf>
    <xf numFmtId="0" fontId="297" fillId="25" borderId="23" xfId="0" applyFont="1" applyFill="1" applyBorder="1" applyAlignment="1" applyProtection="1">
      <alignment horizontal="left" vertical="center"/>
      <protection locked="0"/>
    </xf>
    <xf numFmtId="0" fontId="296" fillId="25" borderId="8" xfId="0" applyFont="1" applyFill="1" applyBorder="1" applyAlignment="1" applyProtection="1">
      <alignment horizontal="left" vertical="center"/>
      <protection locked="0"/>
    </xf>
    <xf numFmtId="0" fontId="296" fillId="25" borderId="3" xfId="0" applyFont="1" applyFill="1" applyBorder="1" applyAlignment="1" applyProtection="1">
      <alignment vertical="center"/>
      <protection locked="0"/>
    </xf>
    <xf numFmtId="0" fontId="297" fillId="25" borderId="4" xfId="0" applyFont="1" applyFill="1" applyBorder="1" applyAlignment="1" applyProtection="1">
      <alignment vertical="center"/>
      <protection locked="0"/>
    </xf>
    <xf numFmtId="0" fontId="297" fillId="25" borderId="23" xfId="0" applyFont="1" applyFill="1" applyBorder="1" applyAlignment="1" applyProtection="1">
      <alignment vertical="center"/>
      <protection locked="0"/>
    </xf>
    <xf numFmtId="0" fontId="296" fillId="25" borderId="8" xfId="0" applyFont="1" applyFill="1" applyBorder="1" applyAlignment="1" applyProtection="1">
      <alignment vertical="center"/>
      <protection locked="0"/>
    </xf>
    <xf numFmtId="0" fontId="297" fillId="25" borderId="4" xfId="0" applyFont="1" applyFill="1" applyBorder="1" applyProtection="1">
      <protection locked="0"/>
    </xf>
    <xf numFmtId="0" fontId="297" fillId="25" borderId="3" xfId="0" applyFont="1" applyFill="1" applyBorder="1" applyProtection="1">
      <protection locked="0"/>
    </xf>
    <xf numFmtId="0" fontId="296" fillId="25" borderId="3" xfId="0" applyFont="1" applyFill="1" applyBorder="1" applyProtection="1">
      <protection locked="0"/>
    </xf>
    <xf numFmtId="0" fontId="297" fillId="25" borderId="13" xfId="0" applyFont="1" applyFill="1" applyBorder="1" applyProtection="1">
      <protection locked="0"/>
    </xf>
    <xf numFmtId="0" fontId="297" fillId="25" borderId="5" xfId="0" applyFont="1" applyFill="1" applyBorder="1" applyProtection="1">
      <protection locked="0"/>
    </xf>
    <xf numFmtId="0" fontId="296" fillId="25" borderId="5" xfId="0" applyFont="1" applyFill="1" applyBorder="1" applyProtection="1">
      <protection locked="0"/>
    </xf>
    <xf numFmtId="0" fontId="297" fillId="25" borderId="23" xfId="0" applyFont="1" applyFill="1" applyBorder="1" applyProtection="1">
      <protection locked="0"/>
    </xf>
    <xf numFmtId="0" fontId="297" fillId="25" borderId="8" xfId="0" applyFont="1" applyFill="1" applyBorder="1" applyProtection="1">
      <protection locked="0"/>
    </xf>
    <xf numFmtId="0" fontId="296" fillId="25" borderId="8" xfId="0" applyFont="1" applyFill="1" applyBorder="1" applyProtection="1">
      <protection locked="0"/>
    </xf>
    <xf numFmtId="49" fontId="297" fillId="25" borderId="13" xfId="0" applyNumberFormat="1" applyFont="1" applyFill="1" applyBorder="1" applyAlignment="1" applyProtection="1">
      <alignment horizontal="left"/>
      <protection locked="0"/>
    </xf>
    <xf numFmtId="49" fontId="297" fillId="25" borderId="5" xfId="0" applyNumberFormat="1" applyFont="1" applyFill="1" applyBorder="1" applyAlignment="1" applyProtection="1">
      <alignment horizontal="left"/>
      <protection locked="0"/>
    </xf>
    <xf numFmtId="49" fontId="296" fillId="25" borderId="5" xfId="0" applyNumberFormat="1" applyFont="1" applyFill="1" applyBorder="1" applyAlignment="1" applyProtection="1">
      <alignment horizontal="left"/>
      <protection locked="0"/>
    </xf>
    <xf numFmtId="49" fontId="297" fillId="25" borderId="13" xfId="0" applyNumberFormat="1" applyFont="1" applyFill="1" applyBorder="1" applyAlignment="1" applyProtection="1">
      <alignment horizontal="left" vertical="center"/>
      <protection locked="0"/>
    </xf>
    <xf numFmtId="49" fontId="297" fillId="25" borderId="5" xfId="0" applyNumberFormat="1" applyFont="1" applyFill="1" applyBorder="1" applyAlignment="1" applyProtection="1">
      <alignment horizontal="left" vertical="center"/>
      <protection locked="0"/>
    </xf>
    <xf numFmtId="49" fontId="297" fillId="25" borderId="23" xfId="0" applyNumberFormat="1" applyFont="1" applyFill="1" applyBorder="1" applyAlignment="1" applyProtection="1">
      <alignment horizontal="left"/>
      <protection locked="0"/>
    </xf>
    <xf numFmtId="49" fontId="297" fillId="25" borderId="8" xfId="0" applyNumberFormat="1" applyFont="1" applyFill="1" applyBorder="1" applyAlignment="1" applyProtection="1">
      <alignment horizontal="left"/>
      <protection locked="0"/>
    </xf>
    <xf numFmtId="49" fontId="296" fillId="25" borderId="8" xfId="0" applyNumberFormat="1" applyFont="1" applyFill="1" applyBorder="1" applyAlignment="1" applyProtection="1">
      <alignment horizontal="left"/>
      <protection locked="0"/>
    </xf>
    <xf numFmtId="49" fontId="297" fillId="25" borderId="4" xfId="0" applyNumberFormat="1" applyFont="1" applyFill="1" applyBorder="1" applyAlignment="1" applyProtection="1">
      <alignment horizontal="left"/>
      <protection locked="0"/>
    </xf>
    <xf numFmtId="49" fontId="297" fillId="25" borderId="3" xfId="0" applyNumberFormat="1" applyFont="1" applyFill="1" applyBorder="1" applyAlignment="1" applyProtection="1">
      <alignment horizontal="left"/>
      <protection locked="0"/>
    </xf>
    <xf numFmtId="49" fontId="296" fillId="25" borderId="3" xfId="0" applyNumberFormat="1" applyFont="1" applyFill="1" applyBorder="1" applyAlignment="1" applyProtection="1">
      <alignment horizontal="left"/>
      <protection locked="0"/>
    </xf>
    <xf numFmtId="0" fontId="81" fillId="25" borderId="108" xfId="0" applyFont="1" applyFill="1" applyBorder="1" applyAlignment="1" applyProtection="1">
      <alignment horizontal="center" vertical="center"/>
      <protection locked="0"/>
    </xf>
    <xf numFmtId="0" fontId="75" fillId="25" borderId="13" xfId="0" applyFont="1" applyFill="1" applyBorder="1" applyAlignment="1" applyProtection="1">
      <alignment horizontal="left" vertical="center" wrapText="1"/>
      <protection locked="0"/>
    </xf>
    <xf numFmtId="0" fontId="75" fillId="25" borderId="19" xfId="0" applyFont="1" applyFill="1" applyBorder="1" applyAlignment="1" applyProtection="1">
      <alignment horizontal="center" vertical="center" wrapText="1"/>
      <protection locked="0"/>
    </xf>
    <xf numFmtId="0" fontId="75" fillId="25" borderId="4" xfId="0" applyFont="1" applyFill="1" applyBorder="1" applyAlignment="1" applyProtection="1">
      <alignment horizontal="left" vertical="center" wrapText="1"/>
      <protection locked="0"/>
    </xf>
    <xf numFmtId="0" fontId="75" fillId="25" borderId="23" xfId="0" applyFont="1" applyFill="1" applyBorder="1" applyAlignment="1" applyProtection="1">
      <alignment horizontal="left" vertical="center" wrapText="1"/>
      <protection locked="0"/>
    </xf>
    <xf numFmtId="0" fontId="75" fillId="25" borderId="11" xfId="0" applyFont="1" applyFill="1" applyBorder="1" applyAlignment="1" applyProtection="1">
      <alignment horizontal="center" vertical="center" wrapText="1"/>
      <protection locked="0"/>
    </xf>
    <xf numFmtId="0" fontId="75" fillId="25" borderId="23" xfId="0" applyFont="1" applyFill="1" applyBorder="1" applyAlignment="1" applyProtection="1">
      <alignment horizontal="left" vertical="center"/>
      <protection locked="0"/>
    </xf>
    <xf numFmtId="0" fontId="75" fillId="25" borderId="31" xfId="0" applyFont="1" applyFill="1" applyBorder="1" applyAlignment="1" applyProtection="1">
      <alignment horizontal="center" vertical="center"/>
      <protection locked="0"/>
    </xf>
    <xf numFmtId="0" fontId="66" fillId="25" borderId="96" xfId="0" applyFont="1" applyFill="1" applyBorder="1" applyAlignment="1" applyProtection="1">
      <alignment horizontal="center" vertical="center"/>
      <protection locked="0"/>
    </xf>
    <xf numFmtId="0" fontId="331" fillId="25" borderId="97" xfId="0" applyFont="1" applyFill="1" applyBorder="1" applyAlignment="1" applyProtection="1">
      <alignment horizontal="center" vertical="center"/>
      <protection locked="0"/>
    </xf>
    <xf numFmtId="0" fontId="66" fillId="25" borderId="97" xfId="0" applyFont="1" applyFill="1" applyBorder="1" applyAlignment="1" applyProtection="1">
      <alignment horizontal="center" vertical="center"/>
      <protection locked="0"/>
    </xf>
    <xf numFmtId="0" fontId="66" fillId="25" borderId="98" xfId="0" applyFont="1" applyFill="1" applyBorder="1" applyAlignment="1" applyProtection="1">
      <alignment horizontal="center" vertical="center"/>
      <protection locked="0"/>
    </xf>
    <xf numFmtId="0" fontId="6" fillId="25" borderId="12" xfId="0" applyFont="1" applyFill="1" applyBorder="1" applyAlignment="1" applyProtection="1">
      <alignment horizontal="center" vertical="center" wrapText="1"/>
      <protection locked="0"/>
    </xf>
    <xf numFmtId="0" fontId="81" fillId="25" borderId="6" xfId="0" applyFont="1" applyFill="1" applyBorder="1" applyAlignment="1" applyProtection="1">
      <alignment horizontal="left" vertical="center"/>
      <protection locked="0"/>
    </xf>
    <xf numFmtId="0" fontId="81" fillId="25" borderId="12" xfId="0" applyFont="1" applyFill="1" applyBorder="1" applyAlignment="1" applyProtection="1">
      <alignment horizontal="left" vertical="center"/>
      <protection locked="0"/>
    </xf>
    <xf numFmtId="0" fontId="81" fillId="25" borderId="11" xfId="0" applyFont="1" applyFill="1" applyBorder="1" applyAlignment="1" applyProtection="1">
      <alignment horizontal="left" vertical="center"/>
      <protection locked="0"/>
    </xf>
    <xf numFmtId="0" fontId="81" fillId="25" borderId="5" xfId="0" applyFont="1" applyFill="1" applyBorder="1" applyAlignment="1" applyProtection="1">
      <alignment horizontal="right" vertical="center"/>
      <protection locked="0"/>
    </xf>
    <xf numFmtId="0" fontId="81" fillId="25" borderId="8" xfId="0" applyFont="1" applyFill="1" applyBorder="1" applyAlignment="1" applyProtection="1">
      <alignment horizontal="right" vertical="center"/>
      <protection locked="0"/>
    </xf>
    <xf numFmtId="0" fontId="81" fillId="25" borderId="13" xfId="0" applyFont="1" applyFill="1" applyBorder="1" applyAlignment="1" applyProtection="1">
      <alignment horizontal="left" vertical="center"/>
      <protection locked="0"/>
    </xf>
    <xf numFmtId="0" fontId="81" fillId="25" borderId="23" xfId="0" applyFont="1" applyFill="1" applyBorder="1" applyAlignment="1" applyProtection="1">
      <alignment horizontal="left" vertical="center"/>
      <protection locked="0"/>
    </xf>
    <xf numFmtId="0" fontId="81" fillId="25" borderId="43" xfId="0" applyFont="1" applyFill="1" applyBorder="1" applyAlignment="1" applyProtection="1">
      <alignment horizontal="right" vertical="center"/>
      <protection locked="0"/>
    </xf>
    <xf numFmtId="0" fontId="81" fillId="25" borderId="5" xfId="0" applyFont="1" applyFill="1" applyBorder="1" applyAlignment="1" applyProtection="1">
      <alignment vertical="center"/>
      <protection locked="0"/>
    </xf>
    <xf numFmtId="0" fontId="81" fillId="25" borderId="18" xfId="0" applyFont="1" applyFill="1" applyBorder="1" applyAlignment="1" applyProtection="1">
      <alignment horizontal="left" vertical="center"/>
      <protection locked="0"/>
    </xf>
    <xf numFmtId="0" fontId="6" fillId="25" borderId="122" xfId="0" applyFont="1" applyFill="1" applyBorder="1" applyAlignment="1" applyProtection="1">
      <alignment horizontal="center" vertical="center" wrapText="1"/>
      <protection locked="0"/>
    </xf>
    <xf numFmtId="0" fontId="6" fillId="25" borderId="127" xfId="0" applyFont="1" applyFill="1" applyBorder="1" applyAlignment="1" applyProtection="1">
      <alignment horizontal="center" vertical="center" wrapText="1"/>
      <protection locked="0"/>
    </xf>
    <xf numFmtId="0" fontId="6" fillId="25" borderId="30" xfId="0" applyFont="1" applyFill="1" applyBorder="1" applyAlignment="1" applyProtection="1">
      <alignment horizontal="center" vertical="center" wrapText="1"/>
      <protection locked="0"/>
    </xf>
    <xf numFmtId="0" fontId="6" fillId="25" borderId="97" xfId="0" applyFont="1" applyFill="1" applyBorder="1" applyAlignment="1" applyProtection="1">
      <alignment horizontal="center" vertical="center" wrapText="1"/>
      <protection locked="0"/>
    </xf>
    <xf numFmtId="0" fontId="6" fillId="25" borderId="72" xfId="0" applyFont="1" applyFill="1" applyBorder="1" applyAlignment="1" applyProtection="1">
      <alignment horizontal="center" vertical="center" wrapText="1"/>
      <protection locked="0"/>
    </xf>
    <xf numFmtId="0" fontId="6" fillId="25" borderId="73" xfId="0" applyFont="1" applyFill="1" applyBorder="1" applyAlignment="1" applyProtection="1">
      <alignment horizontal="center" vertical="center" wrapText="1"/>
      <protection locked="0"/>
    </xf>
    <xf numFmtId="0" fontId="6" fillId="25" borderId="94" xfId="0" applyFont="1" applyFill="1" applyBorder="1" applyAlignment="1" applyProtection="1">
      <alignment horizontal="center" vertical="center" wrapText="1"/>
      <protection locked="0"/>
    </xf>
    <xf numFmtId="0" fontId="6" fillId="25" borderId="11" xfId="0" applyFont="1" applyFill="1" applyBorder="1" applyAlignment="1" applyProtection="1">
      <alignment horizontal="center" vertical="center"/>
      <protection locked="0"/>
    </xf>
    <xf numFmtId="0" fontId="6" fillId="25" borderId="94" xfId="0" applyFont="1" applyFill="1" applyBorder="1" applyAlignment="1" applyProtection="1">
      <alignment horizontal="center" vertical="center"/>
      <protection locked="0"/>
    </xf>
    <xf numFmtId="0" fontId="6" fillId="25" borderId="99" xfId="0" applyFont="1" applyFill="1" applyBorder="1" applyAlignment="1" applyProtection="1">
      <alignment horizontal="center" vertical="center"/>
      <protection locked="0"/>
    </xf>
    <xf numFmtId="0" fontId="112" fillId="25" borderId="36" xfId="0" applyFont="1" applyFill="1" applyBorder="1" applyAlignment="1" applyProtection="1">
      <alignment horizontal="left" vertical="center"/>
      <protection locked="0"/>
    </xf>
    <xf numFmtId="164" fontId="112" fillId="25" borderId="34" xfId="0" applyNumberFormat="1" applyFont="1" applyFill="1" applyBorder="1" applyAlignment="1" applyProtection="1">
      <alignment horizontal="left" vertical="center"/>
      <protection locked="0"/>
    </xf>
    <xf numFmtId="0" fontId="112" fillId="25" borderId="33" xfId="0" applyFont="1" applyFill="1" applyBorder="1" applyAlignment="1" applyProtection="1">
      <alignment horizontal="left" vertical="center"/>
      <protection locked="0"/>
    </xf>
    <xf numFmtId="0" fontId="112" fillId="25" borderId="32" xfId="0" applyFont="1" applyFill="1" applyBorder="1" applyAlignment="1" applyProtection="1">
      <alignment horizontal="left" vertical="center"/>
      <protection locked="0"/>
    </xf>
    <xf numFmtId="0" fontId="247" fillId="26" borderId="26" xfId="0" applyFont="1" applyFill="1" applyBorder="1" applyAlignment="1" applyProtection="1">
      <alignment horizontal="center" vertical="center"/>
      <protection locked="0"/>
    </xf>
    <xf numFmtId="178" fontId="199" fillId="27" borderId="26" xfId="0" applyNumberFormat="1" applyFont="1" applyFill="1" applyBorder="1" applyAlignment="1" applyProtection="1">
      <alignment horizontal="center" vertical="center"/>
      <protection locked="0"/>
    </xf>
    <xf numFmtId="0" fontId="2" fillId="27" borderId="31" xfId="0" applyFont="1" applyFill="1" applyBorder="1" applyAlignment="1" applyProtection="1">
      <alignment horizontal="center" vertical="center"/>
      <protection locked="0"/>
    </xf>
    <xf numFmtId="0" fontId="2" fillId="27" borderId="26" xfId="0" applyFont="1" applyFill="1" applyBorder="1" applyAlignment="1" applyProtection="1">
      <alignment horizontal="center" vertical="center"/>
      <protection locked="0"/>
    </xf>
    <xf numFmtId="0" fontId="2" fillId="27" borderId="20" xfId="0" applyFont="1" applyFill="1" applyBorder="1" applyAlignment="1" applyProtection="1">
      <alignment horizontal="center" vertical="center"/>
      <protection locked="0"/>
    </xf>
    <xf numFmtId="0" fontId="69" fillId="27" borderId="7" xfId="0" applyFont="1" applyFill="1" applyBorder="1" applyAlignment="1" applyProtection="1">
      <alignment horizontal="center" vertical="center"/>
      <protection locked="0"/>
    </xf>
    <xf numFmtId="0" fontId="14" fillId="0" borderId="41" xfId="0" applyFont="1" applyBorder="1" applyAlignment="1">
      <alignment horizontal="right"/>
    </xf>
    <xf numFmtId="0" fontId="14" fillId="0" borderId="17" xfId="0" applyFont="1" applyBorder="1" applyAlignment="1">
      <alignment horizontal="right"/>
    </xf>
    <xf numFmtId="0" fontId="2" fillId="0" borderId="17" xfId="0" applyFont="1" applyBorder="1" applyAlignment="1">
      <alignment horizontal="right"/>
    </xf>
    <xf numFmtId="0" fontId="12" fillId="0" borderId="17" xfId="0" applyFont="1" applyBorder="1" applyAlignment="1">
      <alignment horizontal="right"/>
    </xf>
    <xf numFmtId="0" fontId="73" fillId="0" borderId="0" xfId="0" applyFont="1" applyAlignment="1">
      <alignment vertical="center"/>
    </xf>
    <xf numFmtId="0" fontId="73" fillId="0" borderId="0" xfId="0" applyFont="1" applyAlignment="1">
      <alignment horizontal="center" vertical="center"/>
    </xf>
    <xf numFmtId="0" fontId="203" fillId="8" borderId="17" xfId="0" applyFont="1" applyFill="1" applyBorder="1" applyAlignment="1">
      <alignment horizontal="center" vertical="center"/>
    </xf>
    <xf numFmtId="0" fontId="37" fillId="8" borderId="17" xfId="0" applyFont="1" applyFill="1" applyBorder="1" applyAlignment="1">
      <alignment horizontal="center" vertical="center"/>
    </xf>
    <xf numFmtId="0" fontId="37" fillId="8" borderId="175" xfId="0" applyFont="1" applyFill="1" applyBorder="1" applyAlignment="1">
      <alignment horizontal="center" vertical="center"/>
    </xf>
    <xf numFmtId="0" fontId="168" fillId="0" borderId="0" xfId="0" applyFont="1" applyAlignment="1">
      <alignment vertical="center" wrapText="1"/>
    </xf>
    <xf numFmtId="0" fontId="14" fillId="19" borderId="19" xfId="0" applyFont="1" applyFill="1" applyBorder="1" applyAlignment="1">
      <alignment horizontal="right" vertical="center"/>
    </xf>
    <xf numFmtId="0" fontId="348" fillId="0" borderId="31" xfId="0" applyFont="1" applyBorder="1" applyAlignment="1">
      <alignment horizontal="center" vertical="center"/>
    </xf>
    <xf numFmtId="0" fontId="348" fillId="0" borderId="93" xfId="0" applyFont="1" applyBorder="1" applyAlignment="1">
      <alignment horizontal="center" vertical="center"/>
    </xf>
    <xf numFmtId="0" fontId="31" fillId="0" borderId="45" xfId="0" applyFont="1" applyBorder="1" applyAlignment="1">
      <alignment vertical="center"/>
    </xf>
    <xf numFmtId="0" fontId="199" fillId="0" borderId="8" xfId="0" applyFont="1" applyBorder="1" applyAlignment="1">
      <alignment horizontal="right" vertical="center"/>
    </xf>
    <xf numFmtId="0" fontId="56" fillId="0" borderId="10" xfId="0" applyFont="1" applyBorder="1" applyAlignment="1">
      <alignment horizontal="center"/>
    </xf>
    <xf numFmtId="0" fontId="112" fillId="0" borderId="0" xfId="0" applyFont="1" applyAlignment="1">
      <alignment horizontal="left" vertical="center"/>
    </xf>
    <xf numFmtId="0" fontId="31" fillId="0" borderId="0" xfId="0" applyFont="1" applyAlignment="1">
      <alignment vertical="center"/>
    </xf>
    <xf numFmtId="0" fontId="171" fillId="0" borderId="6" xfId="0" applyFont="1" applyBorder="1" applyAlignment="1">
      <alignment horizontal="right" vertical="center" wrapText="1"/>
    </xf>
    <xf numFmtId="0" fontId="158" fillId="18" borderId="28" xfId="0" applyFont="1" applyFill="1" applyBorder="1" applyAlignment="1">
      <alignment horizontal="left" vertical="center" wrapText="1"/>
    </xf>
    <xf numFmtId="0" fontId="92" fillId="0" borderId="0" xfId="0" applyFont="1" applyAlignment="1">
      <alignment vertical="center"/>
    </xf>
    <xf numFmtId="0" fontId="15" fillId="0" borderId="0" xfId="0" applyFont="1" applyAlignment="1">
      <alignment vertical="center"/>
    </xf>
    <xf numFmtId="0" fontId="106" fillId="9" borderId="6" xfId="0" applyFont="1" applyFill="1" applyBorder="1" applyAlignment="1">
      <alignment horizontal="center" vertical="center"/>
    </xf>
    <xf numFmtId="0" fontId="106" fillId="9" borderId="2" xfId="0" applyFont="1" applyFill="1" applyBorder="1" applyAlignment="1">
      <alignment horizontal="center" vertical="center"/>
    </xf>
    <xf numFmtId="0" fontId="106" fillId="9" borderId="31" xfId="0" applyFont="1" applyFill="1" applyBorder="1" applyAlignment="1">
      <alignment horizontal="center" vertical="center"/>
    </xf>
    <xf numFmtId="0" fontId="106" fillId="9" borderId="208" xfId="0" applyFont="1" applyFill="1" applyBorder="1" applyAlignment="1">
      <alignment horizontal="center" vertical="center"/>
    </xf>
    <xf numFmtId="0" fontId="106" fillId="9" borderId="159" xfId="0" applyFont="1" applyFill="1" applyBorder="1" applyAlignment="1">
      <alignment horizontal="center" vertical="center"/>
    </xf>
    <xf numFmtId="0" fontId="167" fillId="9" borderId="55" xfId="0" applyFont="1" applyFill="1" applyBorder="1" applyAlignment="1">
      <alignment horizontal="center" vertical="center" wrapText="1"/>
    </xf>
    <xf numFmtId="0" fontId="113" fillId="0" borderId="129" xfId="0" applyFont="1" applyBorder="1" applyAlignment="1">
      <alignment horizontal="right" vertical="center"/>
    </xf>
    <xf numFmtId="0" fontId="158" fillId="18" borderId="140" xfId="0" applyFont="1" applyFill="1" applyBorder="1" applyAlignment="1">
      <alignment horizontal="left" vertical="center" wrapText="1"/>
    </xf>
    <xf numFmtId="0" fontId="87" fillId="0" borderId="0" xfId="0" applyFont="1" applyAlignment="1">
      <alignment textRotation="90"/>
    </xf>
    <xf numFmtId="0" fontId="2" fillId="0" borderId="24" xfId="0" applyFont="1" applyBorder="1" applyAlignment="1">
      <alignment horizontal="left" vertical="center" wrapText="1"/>
    </xf>
    <xf numFmtId="0" fontId="79" fillId="0" borderId="24" xfId="0" applyFont="1" applyBorder="1" applyAlignment="1">
      <alignment horizontal="center" vertical="center"/>
    </xf>
    <xf numFmtId="0" fontId="79" fillId="0" borderId="26" xfId="0" applyFont="1" applyBorder="1" applyAlignment="1">
      <alignment horizontal="center" vertical="center"/>
    </xf>
    <xf numFmtId="0" fontId="79" fillId="0" borderId="7" xfId="0" applyFont="1" applyBorder="1" applyAlignment="1">
      <alignment horizontal="center" vertical="center"/>
    </xf>
    <xf numFmtId="0" fontId="79" fillId="0" borderId="7" xfId="0" applyFont="1" applyBorder="1" applyAlignment="1">
      <alignment horizontal="center"/>
    </xf>
    <xf numFmtId="0" fontId="79" fillId="0" borderId="9" xfId="0" applyFont="1" applyBorder="1" applyAlignment="1">
      <alignment horizontal="center" vertical="center" wrapText="1"/>
    </xf>
    <xf numFmtId="0" fontId="113" fillId="0" borderId="27" xfId="0" applyFont="1" applyBorder="1" applyAlignment="1">
      <alignment horizontal="right" vertical="center"/>
    </xf>
    <xf numFmtId="49" fontId="15" fillId="0" borderId="0" xfId="0" applyNumberFormat="1" applyFont="1" applyAlignment="1">
      <alignment horizontal="center" vertical="center"/>
    </xf>
    <xf numFmtId="0" fontId="106" fillId="9" borderId="3" xfId="0" applyFont="1" applyFill="1" applyBorder="1" applyAlignment="1">
      <alignment horizontal="center" vertical="center"/>
    </xf>
    <xf numFmtId="0" fontId="106" fillId="9" borderId="21" xfId="0" applyFont="1" applyFill="1" applyBorder="1" applyAlignment="1">
      <alignment horizontal="center" vertical="center"/>
    </xf>
    <xf numFmtId="0" fontId="106" fillId="9" borderId="19" xfId="0" applyFont="1" applyFill="1" applyBorder="1" applyAlignment="1">
      <alignment horizontal="center" vertical="center"/>
    </xf>
    <xf numFmtId="0" fontId="79" fillId="0" borderId="16" xfId="0" applyFont="1" applyBorder="1" applyAlignment="1">
      <alignment horizontal="center" vertical="center"/>
    </xf>
    <xf numFmtId="0" fontId="79" fillId="0" borderId="2" xfId="0" applyFont="1" applyBorder="1" applyAlignment="1">
      <alignment horizontal="center" vertical="center"/>
    </xf>
    <xf numFmtId="0" fontId="79" fillId="0" borderId="14" xfId="0" applyFont="1" applyBorder="1" applyAlignment="1">
      <alignment horizontal="center" vertical="center"/>
    </xf>
    <xf numFmtId="0" fontId="79" fillId="0" borderId="2" xfId="0" applyFont="1" applyBorder="1" applyAlignment="1">
      <alignment horizontal="center"/>
    </xf>
    <xf numFmtId="0" fontId="106" fillId="16" borderId="16" xfId="0" applyFont="1" applyFill="1" applyBorder="1" applyAlignment="1">
      <alignment horizontal="left" vertical="center" wrapText="1" indent="1"/>
    </xf>
    <xf numFmtId="0" fontId="106" fillId="16" borderId="6" xfId="0" applyFont="1" applyFill="1" applyBorder="1" applyAlignment="1">
      <alignment horizontal="right" vertical="center"/>
    </xf>
    <xf numFmtId="0" fontId="56" fillId="23" borderId="6" xfId="0" applyFont="1" applyFill="1" applyBorder="1" applyAlignment="1">
      <alignment horizontal="right" vertical="center"/>
    </xf>
    <xf numFmtId="1" fontId="117" fillId="0" borderId="6" xfId="0" applyNumberFormat="1" applyFont="1" applyBorder="1" applyAlignment="1">
      <alignment horizontal="left" vertical="center"/>
    </xf>
    <xf numFmtId="0" fontId="171" fillId="16" borderId="5" xfId="0" applyFont="1" applyFill="1" applyBorder="1" applyAlignment="1">
      <alignment horizontal="left" vertical="center" wrapText="1"/>
    </xf>
    <xf numFmtId="0" fontId="106" fillId="16" borderId="12" xfId="0" applyFont="1" applyFill="1" applyBorder="1" applyAlignment="1">
      <alignment horizontal="right" vertical="center" wrapText="1"/>
    </xf>
    <xf numFmtId="0" fontId="56" fillId="23" borderId="12" xfId="0" applyFont="1" applyFill="1" applyBorder="1" applyAlignment="1">
      <alignment horizontal="right" vertical="center"/>
    </xf>
    <xf numFmtId="183" fontId="117" fillId="0" borderId="12" xfId="0" applyNumberFormat="1" applyFont="1" applyBorder="1" applyAlignment="1">
      <alignment horizontal="left" vertical="center"/>
    </xf>
    <xf numFmtId="0" fontId="167" fillId="16" borderId="8" xfId="0" applyFont="1" applyFill="1" applyBorder="1" applyAlignment="1">
      <alignment horizontal="left" vertical="center"/>
    </xf>
    <xf numFmtId="0" fontId="106" fillId="16" borderId="11" xfId="0" applyFont="1" applyFill="1" applyBorder="1" applyAlignment="1">
      <alignment horizontal="right" vertical="center"/>
    </xf>
    <xf numFmtId="0" fontId="56" fillId="23" borderId="11" xfId="0" applyFont="1" applyFill="1" applyBorder="1" applyAlignment="1">
      <alignment horizontal="right" vertical="center"/>
    </xf>
    <xf numFmtId="0" fontId="12" fillId="0" borderId="45" xfId="0" applyFont="1" applyBorder="1" applyAlignment="1">
      <alignment horizontal="left" vertical="center"/>
    </xf>
    <xf numFmtId="0" fontId="12" fillId="0" borderId="45" xfId="0" applyFont="1" applyBorder="1" applyAlignment="1">
      <alignment horizontal="left" vertical="center" wrapText="1"/>
    </xf>
    <xf numFmtId="0" fontId="106" fillId="9" borderId="2" xfId="0" applyFont="1" applyFill="1" applyBorder="1" applyAlignment="1">
      <alignment horizontal="center" vertical="center" wrapText="1"/>
    </xf>
    <xf numFmtId="0" fontId="197" fillId="0" borderId="129" xfId="0" quotePrefix="1" applyFont="1" applyBorder="1" applyAlignment="1">
      <alignment horizontal="left" vertical="center"/>
    </xf>
    <xf numFmtId="0" fontId="197" fillId="0" borderId="45" xfId="0" quotePrefix="1" applyFont="1" applyBorder="1" applyAlignment="1">
      <alignment horizontal="left" vertical="center"/>
    </xf>
    <xf numFmtId="0" fontId="110" fillId="0" borderId="45" xfId="0" quotePrefix="1" applyFont="1" applyBorder="1" applyAlignment="1">
      <alignment horizontal="center" vertical="center" wrapText="1"/>
    </xf>
    <xf numFmtId="0" fontId="106" fillId="0" borderId="45" xfId="0" applyFont="1" applyBorder="1" applyAlignment="1">
      <alignment horizontal="right" vertical="center"/>
    </xf>
    <xf numFmtId="0" fontId="110" fillId="0" borderId="27" xfId="0" quotePrefix="1" applyFont="1" applyBorder="1" applyAlignment="1">
      <alignment horizontal="center" vertical="center" wrapText="1"/>
    </xf>
    <xf numFmtId="0" fontId="110" fillId="0" borderId="24" xfId="0" quotePrefix="1" applyFont="1" applyBorder="1" applyAlignment="1">
      <alignment horizontal="right" vertical="center"/>
    </xf>
    <xf numFmtId="0" fontId="110" fillId="0" borderId="24" xfId="0" quotePrefix="1" applyFont="1" applyBorder="1" applyAlignment="1">
      <alignment horizontal="center" vertical="center" wrapText="1"/>
    </xf>
    <xf numFmtId="0" fontId="9" fillId="0" borderId="45" xfId="0" applyFont="1" applyBorder="1" applyAlignment="1">
      <alignment horizontal="left" vertical="center" wrapText="1" indent="1"/>
    </xf>
    <xf numFmtId="0" fontId="167" fillId="9" borderId="2" xfId="0" applyFont="1" applyFill="1" applyBorder="1" applyAlignment="1">
      <alignment horizontal="center" vertical="center"/>
    </xf>
    <xf numFmtId="0" fontId="167" fillId="9" borderId="31" xfId="0" applyFont="1" applyFill="1" applyBorder="1" applyAlignment="1">
      <alignment horizontal="center" vertical="center"/>
    </xf>
    <xf numFmtId="0" fontId="49" fillId="0" borderId="24" xfId="0" applyFont="1" applyBorder="1" applyAlignment="1">
      <alignment horizontal="left" vertical="center"/>
    </xf>
    <xf numFmtId="0" fontId="9" fillId="0" borderId="24" xfId="0" applyFont="1" applyBorder="1" applyAlignment="1">
      <alignment horizontal="left" vertical="center" wrapText="1" indent="1"/>
    </xf>
    <xf numFmtId="0" fontId="79" fillId="0" borderId="25" xfId="0" applyFont="1" applyBorder="1" applyAlignment="1">
      <alignment horizontal="center" vertical="center"/>
    </xf>
    <xf numFmtId="0" fontId="116" fillId="0" borderId="26" xfId="0" applyFont="1" applyBorder="1" applyAlignment="1">
      <alignment horizontal="center" vertical="center"/>
    </xf>
    <xf numFmtId="0" fontId="79" fillId="0" borderId="9" xfId="0" applyFont="1" applyBorder="1" applyAlignment="1">
      <alignment horizontal="center" vertical="center"/>
    </xf>
    <xf numFmtId="0" fontId="16" fillId="0" borderId="2" xfId="0" applyFont="1" applyBorder="1" applyAlignment="1">
      <alignment horizontal="right" vertical="center"/>
    </xf>
    <xf numFmtId="0" fontId="88" fillId="0" borderId="2" xfId="0" applyFont="1" applyBorder="1" applyAlignment="1">
      <alignment horizontal="center" vertical="center"/>
    </xf>
    <xf numFmtId="0" fontId="16" fillId="0" borderId="16" xfId="0" applyFont="1" applyBorder="1" applyAlignment="1">
      <alignment horizontal="left" vertical="center"/>
    </xf>
    <xf numFmtId="0" fontId="56" fillId="0" borderId="14" xfId="0" applyFont="1" applyBorder="1" applyAlignment="1">
      <alignment horizontal="left" vertical="center"/>
    </xf>
    <xf numFmtId="0" fontId="9" fillId="0" borderId="45" xfId="0" applyFont="1" applyBorder="1" applyAlignment="1">
      <alignment horizontal="left" indent="1"/>
    </xf>
    <xf numFmtId="0" fontId="15" fillId="0" borderId="46" xfId="0" applyFont="1" applyBorder="1" applyAlignment="1">
      <alignment horizontal="right" vertical="center"/>
    </xf>
    <xf numFmtId="0" fontId="113" fillId="0" borderId="48" xfId="0" applyFont="1" applyBorder="1" applyAlignment="1">
      <alignment horizontal="right" vertical="center"/>
    </xf>
    <xf numFmtId="0" fontId="158" fillId="18" borderId="140" xfId="0" applyFont="1" applyFill="1" applyBorder="1" applyAlignment="1">
      <alignment horizontal="left" vertical="center"/>
    </xf>
    <xf numFmtId="1" fontId="75" fillId="0" borderId="2" xfId="0" applyNumberFormat="1" applyFont="1" applyBorder="1" applyAlignment="1">
      <alignment horizontal="center" vertical="center"/>
    </xf>
    <xf numFmtId="0" fontId="181" fillId="0" borderId="24" xfId="0" applyFont="1" applyBorder="1" applyAlignment="1">
      <alignment horizontal="left" vertical="top" indent="1"/>
    </xf>
    <xf numFmtId="0" fontId="98" fillId="0" borderId="24" xfId="0" applyFont="1" applyBorder="1" applyAlignment="1">
      <alignment horizontal="left" vertical="top" wrapText="1" indent="1"/>
    </xf>
    <xf numFmtId="0" fontId="147" fillId="0" borderId="46" xfId="0" applyFont="1" applyBorder="1" applyAlignment="1">
      <alignment horizontal="right" vertical="center"/>
    </xf>
    <xf numFmtId="0" fontId="16" fillId="0" borderId="1" xfId="0" applyFont="1" applyBorder="1" applyAlignment="1">
      <alignment horizontal="right" vertical="center"/>
    </xf>
    <xf numFmtId="179" fontId="9" fillId="0" borderId="137" xfId="0" applyNumberFormat="1" applyFont="1" applyBorder="1" applyAlignment="1">
      <alignment horizontal="center" vertical="center"/>
    </xf>
    <xf numFmtId="184" fontId="9" fillId="0" borderId="12" xfId="0" applyNumberFormat="1" applyFont="1" applyBorder="1" applyAlignment="1">
      <alignment horizontal="left" vertical="center"/>
    </xf>
    <xf numFmtId="49" fontId="106" fillId="9" borderId="31" xfId="0" applyNumberFormat="1" applyFont="1" applyFill="1" applyBorder="1" applyAlignment="1">
      <alignment horizontal="center" vertical="center"/>
    </xf>
    <xf numFmtId="49" fontId="106" fillId="9" borderId="21" xfId="0" applyNumberFormat="1" applyFont="1" applyFill="1" applyBorder="1" applyAlignment="1">
      <alignment horizontal="center" vertical="center"/>
    </xf>
    <xf numFmtId="0" fontId="106" fillId="9" borderId="31" xfId="0" applyFont="1" applyFill="1" applyBorder="1" applyAlignment="1">
      <alignment horizontal="left" vertical="center"/>
    </xf>
    <xf numFmtId="0" fontId="73" fillId="0" borderId="45" xfId="0" applyFont="1" applyBorder="1" applyAlignment="1">
      <alignment vertical="center"/>
    </xf>
    <xf numFmtId="0" fontId="15" fillId="0" borderId="45" xfId="0" applyFont="1" applyBorder="1" applyAlignment="1">
      <alignment vertical="center"/>
    </xf>
    <xf numFmtId="0" fontId="15" fillId="0" borderId="168" xfId="0" applyFont="1" applyBorder="1" applyAlignment="1">
      <alignment vertical="center"/>
    </xf>
    <xf numFmtId="0" fontId="110" fillId="0" borderId="6" xfId="0" applyFont="1" applyBorder="1" applyAlignment="1">
      <alignment horizontal="center" vertical="top" wrapText="1"/>
    </xf>
    <xf numFmtId="185" fontId="197" fillId="0" borderId="2" xfId="0" applyNumberFormat="1" applyFont="1" applyBorder="1" applyAlignment="1">
      <alignment horizontal="center" vertical="center"/>
    </xf>
    <xf numFmtId="184" fontId="88" fillId="0" borderId="12" xfId="0" applyNumberFormat="1" applyFont="1" applyBorder="1" applyAlignment="1">
      <alignment horizontal="left" vertical="center"/>
    </xf>
    <xf numFmtId="0" fontId="56" fillId="0" borderId="10" xfId="0" applyFont="1" applyBorder="1" applyAlignment="1">
      <alignment horizontal="left" vertical="center"/>
    </xf>
    <xf numFmtId="0" fontId="75" fillId="0" borderId="0" xfId="0" applyFont="1" applyAlignment="1">
      <alignment horizontal="center" vertical="center"/>
    </xf>
    <xf numFmtId="0" fontId="75" fillId="0" borderId="167" xfId="0" applyFont="1" applyBorder="1" applyAlignment="1">
      <alignment horizontal="center" vertical="center"/>
    </xf>
    <xf numFmtId="0" fontId="16" fillId="0" borderId="12" xfId="0" applyFont="1" applyBorder="1" applyAlignment="1">
      <alignment horizontal="right" vertical="center"/>
    </xf>
    <xf numFmtId="164" fontId="75" fillId="0" borderId="1" xfId="0" applyNumberFormat="1" applyFont="1" applyBorder="1" applyAlignment="1">
      <alignment horizontal="center" vertical="center"/>
    </xf>
    <xf numFmtId="0" fontId="167" fillId="0" borderId="12" xfId="0" applyFont="1" applyBorder="1" applyAlignment="1">
      <alignment vertical="center"/>
    </xf>
    <xf numFmtId="0" fontId="208" fillId="0" borderId="0" xfId="0" applyFont="1" applyAlignment="1">
      <alignment vertical="center" wrapText="1"/>
    </xf>
    <xf numFmtId="0" fontId="106" fillId="9" borderId="10" xfId="0" applyFont="1" applyFill="1" applyBorder="1" applyAlignment="1">
      <alignment vertical="center"/>
    </xf>
    <xf numFmtId="0" fontId="75" fillId="0" borderId="169" xfId="0" applyFont="1" applyBorder="1" applyAlignment="1">
      <alignment horizontal="center" vertical="center"/>
    </xf>
    <xf numFmtId="0" fontId="16" fillId="0" borderId="8" xfId="0" applyFont="1" applyBorder="1" applyAlignment="1">
      <alignment horizontal="right" vertical="center"/>
    </xf>
    <xf numFmtId="0" fontId="9" fillId="0" borderId="7" xfId="0" applyFont="1" applyBorder="1" applyAlignment="1">
      <alignment horizontal="center" vertical="center"/>
    </xf>
    <xf numFmtId="0" fontId="167" fillId="0" borderId="11" xfId="0" applyFont="1" applyBorder="1" applyAlignment="1">
      <alignment vertical="center"/>
    </xf>
    <xf numFmtId="0" fontId="73" fillId="0" borderId="27" xfId="0" applyFont="1" applyBorder="1" applyAlignment="1">
      <alignment horizontal="left" vertical="center"/>
    </xf>
    <xf numFmtId="0" fontId="15" fillId="0" borderId="24" xfId="0" applyFont="1" applyBorder="1" applyAlignment="1">
      <alignment horizontal="left" vertical="center"/>
    </xf>
    <xf numFmtId="0" fontId="15" fillId="0" borderId="24" xfId="0" applyFont="1" applyBorder="1" applyAlignment="1">
      <alignment vertical="center"/>
    </xf>
    <xf numFmtId="0" fontId="15" fillId="0" borderId="166" xfId="0" applyFont="1" applyBorder="1" applyAlignment="1">
      <alignment vertical="center"/>
    </xf>
    <xf numFmtId="0" fontId="73" fillId="0" borderId="16" xfId="0" applyFont="1" applyBorder="1" applyAlignment="1">
      <alignment vertical="center"/>
    </xf>
    <xf numFmtId="0" fontId="16" fillId="0" borderId="16" xfId="0" applyFont="1" applyBorder="1" applyAlignment="1">
      <alignment vertical="center"/>
    </xf>
    <xf numFmtId="0" fontId="9" fillId="0" borderId="135" xfId="0" applyFont="1" applyBorder="1" applyAlignment="1">
      <alignment horizontal="center" vertical="center"/>
    </xf>
    <xf numFmtId="0" fontId="106" fillId="9" borderId="128" xfId="0" applyFont="1" applyFill="1" applyBorder="1" applyAlignment="1">
      <alignment horizontal="center" vertical="center"/>
    </xf>
    <xf numFmtId="0" fontId="85" fillId="0" borderId="129" xfId="0" applyFont="1" applyBorder="1" applyAlignment="1">
      <alignment horizontal="right" vertical="center" wrapText="1"/>
    </xf>
    <xf numFmtId="0" fontId="86" fillId="0" borderId="45" xfId="0" applyFont="1" applyBorder="1" applyAlignment="1">
      <alignment horizontal="right" vertical="center" wrapText="1"/>
    </xf>
    <xf numFmtId="0" fontId="86" fillId="0" borderId="45" xfId="0" applyFont="1" applyBorder="1" applyAlignment="1">
      <alignment horizontal="center" vertical="center"/>
    </xf>
    <xf numFmtId="0" fontId="86" fillId="0" borderId="168" xfId="0" applyFont="1" applyBorder="1" applyAlignment="1">
      <alignment horizontal="center" vertical="center"/>
    </xf>
    <xf numFmtId="0" fontId="100" fillId="0" borderId="0" xfId="0" applyFont="1" applyAlignment="1">
      <alignment vertical="center"/>
    </xf>
    <xf numFmtId="0" fontId="73" fillId="0" borderId="28" xfId="0" applyFont="1" applyBorder="1" applyAlignment="1">
      <alignment vertical="center"/>
    </xf>
    <xf numFmtId="0" fontId="9" fillId="0" borderId="6" xfId="0" applyFont="1" applyBorder="1" applyAlignment="1">
      <alignment horizontal="center" vertical="center"/>
    </xf>
    <xf numFmtId="0" fontId="85" fillId="0" borderId="14" xfId="0" applyFont="1" applyBorder="1" applyAlignment="1">
      <alignment horizontal="right" vertical="center" wrapText="1"/>
    </xf>
    <xf numFmtId="0" fontId="56" fillId="0" borderId="16" xfId="0" applyFont="1" applyBorder="1" applyAlignment="1">
      <alignment horizontal="right"/>
    </xf>
    <xf numFmtId="0" fontId="86" fillId="0" borderId="16" xfId="0" applyFont="1" applyBorder="1" applyAlignment="1">
      <alignment horizontal="center" vertical="center"/>
    </xf>
    <xf numFmtId="0" fontId="86" fillId="0" borderId="167" xfId="0" applyFont="1" applyBorder="1" applyAlignment="1">
      <alignment horizontal="center" vertical="center"/>
    </xf>
    <xf numFmtId="0" fontId="69" fillId="17" borderId="137" xfId="0" applyFont="1" applyFill="1" applyBorder="1" applyAlignment="1">
      <alignment horizontal="center" wrapText="1"/>
    </xf>
    <xf numFmtId="0" fontId="106" fillId="9" borderId="1" xfId="0" applyFont="1" applyFill="1" applyBorder="1" applyAlignment="1">
      <alignment horizontal="center" vertical="center" wrapText="1"/>
    </xf>
    <xf numFmtId="0" fontId="106" fillId="9" borderId="1" xfId="0" applyFont="1" applyFill="1" applyBorder="1" applyAlignment="1">
      <alignment horizontal="center" vertical="center"/>
    </xf>
    <xf numFmtId="0" fontId="167" fillId="9" borderId="1" xfId="0" applyFont="1" applyFill="1" applyBorder="1" applyAlignment="1">
      <alignment horizontal="center" vertical="center"/>
    </xf>
    <xf numFmtId="0" fontId="106" fillId="9" borderId="10" xfId="0" applyFont="1" applyFill="1" applyBorder="1" applyAlignment="1">
      <alignment horizontal="center" vertical="center" wrapText="1"/>
    </xf>
    <xf numFmtId="0" fontId="106" fillId="9" borderId="10" xfId="0" applyFont="1" applyFill="1" applyBorder="1" applyAlignment="1">
      <alignment horizontal="center" vertical="center"/>
    </xf>
    <xf numFmtId="0" fontId="334" fillId="0" borderId="111" xfId="0" applyFont="1" applyBorder="1" applyAlignment="1">
      <alignment horizontal="right"/>
    </xf>
    <xf numFmtId="0" fontId="167" fillId="17" borderId="26" xfId="0" applyFont="1" applyFill="1" applyBorder="1" applyAlignment="1">
      <alignment horizontal="right" vertical="top"/>
    </xf>
    <xf numFmtId="0" fontId="56" fillId="0" borderId="45" xfId="0" applyFont="1" applyBorder="1" applyAlignment="1">
      <alignment horizontal="center" vertical="center"/>
    </xf>
    <xf numFmtId="0" fontId="56" fillId="0" borderId="168" xfId="0" applyFont="1" applyBorder="1" applyAlignment="1">
      <alignment horizontal="right" vertical="center"/>
    </xf>
    <xf numFmtId="0" fontId="19" fillId="0" borderId="129" xfId="0" applyFont="1" applyBorder="1" applyAlignment="1">
      <alignment horizontal="right" vertical="center" wrapText="1"/>
    </xf>
    <xf numFmtId="0" fontId="19" fillId="0" borderId="45" xfId="0" applyFont="1" applyBorder="1" applyAlignment="1">
      <alignment horizontal="right" vertical="center" wrapText="1"/>
    </xf>
    <xf numFmtId="0" fontId="106" fillId="0" borderId="45" xfId="0" applyFont="1" applyBorder="1" applyAlignment="1">
      <alignment horizontal="right" vertical="center" wrapText="1"/>
    </xf>
    <xf numFmtId="0" fontId="31" fillId="0" borderId="168" xfId="0" applyFont="1" applyBorder="1" applyAlignment="1">
      <alignment vertical="center"/>
    </xf>
    <xf numFmtId="0" fontId="56" fillId="0" borderId="0" xfId="0" applyFont="1" applyAlignment="1">
      <alignment vertical="center"/>
    </xf>
    <xf numFmtId="0" fontId="19" fillId="0" borderId="27" xfId="0" applyFont="1" applyBorder="1" applyAlignment="1">
      <alignment horizontal="right" vertical="center" wrapText="1"/>
    </xf>
    <xf numFmtId="0" fontId="19" fillId="0" borderId="24" xfId="0" applyFont="1" applyBorder="1" applyAlignment="1">
      <alignment horizontal="right" vertical="center" wrapText="1"/>
    </xf>
    <xf numFmtId="0" fontId="106" fillId="0" borderId="24" xfId="0" applyFont="1" applyBorder="1" applyAlignment="1">
      <alignment horizontal="right" vertical="center" wrapText="1"/>
    </xf>
    <xf numFmtId="0" fontId="31" fillId="0" borderId="166" xfId="0" applyFont="1" applyBorder="1" applyAlignment="1">
      <alignment vertical="center"/>
    </xf>
    <xf numFmtId="0" fontId="73" fillId="0" borderId="44" xfId="0" applyFont="1" applyBorder="1" applyAlignment="1">
      <alignment vertical="center"/>
    </xf>
    <xf numFmtId="0" fontId="56" fillId="0" borderId="24" xfId="0" applyFont="1" applyBorder="1" applyAlignment="1">
      <alignment vertical="center"/>
    </xf>
    <xf numFmtId="0" fontId="49" fillId="9" borderId="6" xfId="0" applyFont="1" applyFill="1" applyBorder="1" applyAlignment="1">
      <alignment horizontal="center" vertical="center"/>
    </xf>
    <xf numFmtId="0" fontId="79" fillId="0" borderId="26" xfId="0" applyFont="1" applyBorder="1" applyAlignment="1">
      <alignment horizontal="center"/>
    </xf>
    <xf numFmtId="0" fontId="73" fillId="0" borderId="24" xfId="0" applyFont="1" applyBorder="1" applyAlignment="1">
      <alignment vertical="center"/>
    </xf>
    <xf numFmtId="49" fontId="176" fillId="0" borderId="0" xfId="0" applyNumberFormat="1" applyFont="1" applyAlignment="1">
      <alignment horizontal="center" vertical="center"/>
    </xf>
    <xf numFmtId="0" fontId="84" fillId="0" borderId="45" xfId="0" applyFont="1" applyBorder="1" applyAlignment="1">
      <alignment horizontal="right" vertical="center"/>
    </xf>
    <xf numFmtId="0" fontId="84" fillId="0" borderId="45" xfId="0" applyFont="1" applyBorder="1" applyAlignment="1">
      <alignment horizontal="center" vertical="center"/>
    </xf>
    <xf numFmtId="0" fontId="4" fillId="0" borderId="45" xfId="0" applyFont="1" applyBorder="1" applyAlignment="1">
      <alignment horizontal="left" vertical="center" wrapText="1"/>
    </xf>
    <xf numFmtId="49" fontId="167" fillId="0" borderId="0" xfId="0" applyNumberFormat="1" applyFont="1" applyAlignment="1">
      <alignment horizontal="center" vertical="center"/>
    </xf>
    <xf numFmtId="0" fontId="83" fillId="0" borderId="0" xfId="0" applyFont="1" applyAlignment="1">
      <alignment horizontal="center" vertical="center"/>
    </xf>
    <xf numFmtId="0" fontId="9" fillId="0" borderId="0" xfId="0" applyFont="1" applyAlignment="1">
      <alignment horizontal="right" vertical="center" wrapText="1"/>
    </xf>
    <xf numFmtId="0" fontId="160" fillId="0" borderId="28" xfId="0" applyFont="1" applyBorder="1" applyAlignment="1">
      <alignment horizontal="right" vertical="center" wrapText="1"/>
    </xf>
    <xf numFmtId="49" fontId="3" fillId="0" borderId="24" xfId="0" applyNumberFormat="1" applyFont="1" applyBorder="1" applyAlignment="1">
      <alignment horizontal="left" vertical="center"/>
    </xf>
    <xf numFmtId="0" fontId="167" fillId="0" borderId="24" xfId="0" applyFont="1" applyBorder="1" applyAlignment="1">
      <alignment horizontal="left" vertical="center" wrapText="1"/>
    </xf>
    <xf numFmtId="0" fontId="110" fillId="0" borderId="24" xfId="0" applyFont="1" applyBorder="1" applyAlignment="1">
      <alignment horizontal="left" vertical="center"/>
    </xf>
    <xf numFmtId="0" fontId="167" fillId="0" borderId="24" xfId="0" applyFont="1" applyBorder="1" applyAlignment="1">
      <alignment horizontal="center" vertical="center" wrapText="1"/>
    </xf>
    <xf numFmtId="0" fontId="110" fillId="0" borderId="24" xfId="0" applyFont="1" applyBorder="1" applyAlignment="1">
      <alignment horizontal="right" vertical="center"/>
    </xf>
    <xf numFmtId="0" fontId="203" fillId="0" borderId="171" xfId="0" applyFont="1" applyBorder="1" applyAlignment="1">
      <alignment horizontal="right" vertical="center" wrapText="1"/>
    </xf>
    <xf numFmtId="0" fontId="174" fillId="18" borderId="28" xfId="0" applyFont="1" applyFill="1" applyBorder="1" applyAlignment="1">
      <alignment horizontal="left" vertical="center"/>
    </xf>
    <xf numFmtId="0" fontId="73" fillId="0" borderId="51" xfId="0" applyFont="1" applyBorder="1" applyAlignment="1">
      <alignment vertical="center"/>
    </xf>
    <xf numFmtId="0" fontId="98" fillId="0" borderId="16" xfId="0" applyFont="1" applyBorder="1" applyAlignment="1">
      <alignment horizontal="right" vertical="center"/>
    </xf>
    <xf numFmtId="0" fontId="75" fillId="0" borderId="0" xfId="0" applyFont="1" applyAlignment="1">
      <alignment horizontal="center" vertical="center" wrapText="1"/>
    </xf>
    <xf numFmtId="0" fontId="79" fillId="0" borderId="28" xfId="0" applyFont="1" applyBorder="1" applyAlignment="1">
      <alignment horizontal="center" vertical="center"/>
    </xf>
    <xf numFmtId="0" fontId="79" fillId="0" borderId="17" xfId="0" applyFont="1" applyBorder="1" applyAlignment="1">
      <alignment horizontal="left" vertical="center" indent="1"/>
    </xf>
    <xf numFmtId="0" fontId="79" fillId="0" borderId="17" xfId="0" applyFont="1" applyBorder="1" applyAlignment="1">
      <alignment horizontal="center" vertical="center"/>
    </xf>
    <xf numFmtId="0" fontId="147" fillId="0" borderId="171" xfId="0" applyFont="1" applyBorder="1" applyAlignment="1">
      <alignment horizontal="right" vertical="center" wrapText="1"/>
    </xf>
    <xf numFmtId="0" fontId="117" fillId="0" borderId="15" xfId="0" applyFont="1" applyBorder="1" applyAlignment="1">
      <alignment horizontal="right" vertical="center"/>
    </xf>
    <xf numFmtId="0" fontId="98" fillId="0" borderId="5" xfId="0" applyFont="1" applyBorder="1" applyAlignment="1">
      <alignment horizontal="right" vertical="center"/>
    </xf>
    <xf numFmtId="168" fontId="167" fillId="0" borderId="17" xfId="0" applyNumberFormat="1" applyFont="1" applyBorder="1" applyAlignment="1">
      <alignment horizontal="center" vertical="center"/>
    </xf>
    <xf numFmtId="168" fontId="106" fillId="0" borderId="17" xfId="0" applyNumberFormat="1" applyFont="1" applyBorder="1" applyAlignment="1">
      <alignment horizontal="center" vertical="center"/>
    </xf>
    <xf numFmtId="0" fontId="106" fillId="0" borderId="17" xfId="0" applyFont="1" applyBorder="1" applyAlignment="1">
      <alignment horizontal="center" vertical="center"/>
    </xf>
    <xf numFmtId="0" fontId="9" fillId="2" borderId="17" xfId="0" applyFont="1" applyFill="1" applyBorder="1" applyAlignment="1">
      <alignment horizontal="right" vertical="center" wrapText="1"/>
    </xf>
    <xf numFmtId="0" fontId="171" fillId="0" borderId="17" xfId="0" applyFont="1" applyBorder="1" applyAlignment="1">
      <alignment horizontal="right" vertical="center"/>
    </xf>
    <xf numFmtId="0" fontId="174" fillId="0" borderId="17" xfId="0" applyFont="1" applyBorder="1" applyAlignment="1">
      <alignment horizontal="right" vertical="center"/>
    </xf>
    <xf numFmtId="0" fontId="16" fillId="0" borderId="202" xfId="0" applyFont="1" applyBorder="1" applyAlignment="1">
      <alignment horizontal="right" vertical="center"/>
    </xf>
    <xf numFmtId="170" fontId="115" fillId="0" borderId="29" xfId="0" applyNumberFormat="1" applyFont="1" applyBorder="1" applyAlignment="1">
      <alignment horizontal="left" vertical="center" wrapText="1"/>
    </xf>
    <xf numFmtId="0" fontId="158" fillId="18" borderId="28" xfId="0" applyFont="1" applyFill="1" applyBorder="1" applyAlignment="1">
      <alignment horizontal="left" vertical="center"/>
    </xf>
    <xf numFmtId="49" fontId="167" fillId="0" borderId="0" xfId="0" applyNumberFormat="1" applyFont="1" applyAlignment="1">
      <alignment horizontal="center" vertical="center" wrapText="1"/>
    </xf>
    <xf numFmtId="0" fontId="9" fillId="0" borderId="28" xfId="0" applyFont="1" applyBorder="1" applyAlignment="1">
      <alignment horizontal="right" vertical="center" wrapText="1"/>
    </xf>
    <xf numFmtId="0" fontId="74" fillId="0" borderId="17" xfId="0" applyFont="1" applyBorder="1" applyAlignment="1">
      <alignment horizontal="center" vertical="center" wrapText="1"/>
    </xf>
    <xf numFmtId="0" fontId="73" fillId="0" borderId="17" xfId="0" applyFont="1" applyBorder="1" applyAlignment="1">
      <alignment vertical="center"/>
    </xf>
    <xf numFmtId="0" fontId="112" fillId="0" borderId="17" xfId="0" applyFont="1" applyBorder="1" applyAlignment="1">
      <alignment horizontal="right" vertical="center"/>
    </xf>
    <xf numFmtId="0" fontId="75" fillId="0" borderId="24" xfId="0" applyFont="1" applyBorder="1" applyAlignment="1">
      <alignment horizontal="right" vertical="center"/>
    </xf>
    <xf numFmtId="0" fontId="16" fillId="0" borderId="171" xfId="0" applyFont="1" applyBorder="1" applyAlignment="1">
      <alignment horizontal="right" vertical="center"/>
    </xf>
    <xf numFmtId="0" fontId="117" fillId="0" borderId="48" xfId="0" applyFont="1" applyBorder="1" applyAlignment="1">
      <alignment horizontal="right" vertical="center"/>
    </xf>
    <xf numFmtId="187" fontId="117" fillId="0" borderId="25" xfId="0" applyNumberFormat="1" applyFont="1" applyBorder="1" applyAlignment="1">
      <alignment horizontal="left" vertical="center"/>
    </xf>
    <xf numFmtId="49" fontId="73" fillId="0" borderId="0" xfId="0" applyNumberFormat="1" applyFont="1" applyAlignment="1">
      <alignment vertical="center"/>
    </xf>
    <xf numFmtId="0" fontId="14" fillId="0" borderId="0" xfId="0" applyFont="1" applyAlignment="1">
      <alignment horizontal="left" vertical="center" wrapText="1"/>
    </xf>
    <xf numFmtId="0" fontId="130" fillId="0" borderId="0" xfId="0" applyFont="1" applyAlignment="1">
      <alignment horizontal="right" vertical="center"/>
    </xf>
    <xf numFmtId="0" fontId="106" fillId="0" borderId="28" xfId="0" applyFont="1" applyBorder="1" applyAlignment="1">
      <alignment horizontal="center" vertical="center"/>
    </xf>
    <xf numFmtId="0" fontId="2" fillId="2" borderId="45" xfId="0" applyFont="1" applyFill="1" applyBorder="1" applyAlignment="1">
      <alignment horizontal="left" vertical="center" wrapText="1"/>
    </xf>
    <xf numFmtId="0" fontId="167" fillId="9" borderId="2" xfId="0" applyFont="1" applyFill="1" applyBorder="1" applyAlignment="1">
      <alignment horizontal="center" vertical="center" wrapText="1"/>
    </xf>
    <xf numFmtId="0" fontId="16" fillId="0" borderId="178" xfId="0" applyFont="1" applyBorder="1" applyAlignment="1">
      <alignment horizontal="right" vertical="center"/>
    </xf>
    <xf numFmtId="0" fontId="117" fillId="0" borderId="21" xfId="0" applyFont="1" applyBorder="1" applyAlignment="1">
      <alignment horizontal="right" vertical="center"/>
    </xf>
    <xf numFmtId="49" fontId="112" fillId="0" borderId="0" xfId="0" applyNumberFormat="1" applyFont="1" applyAlignment="1">
      <alignment horizontal="center" vertical="center" wrapText="1"/>
    </xf>
    <xf numFmtId="0" fontId="81" fillId="0" borderId="0" xfId="0" applyFont="1" applyAlignment="1">
      <alignment horizontal="center" vertical="center" wrapText="1"/>
    </xf>
    <xf numFmtId="0" fontId="198" fillId="0" borderId="0" xfId="0" applyFont="1" applyAlignment="1">
      <alignment horizontal="center" vertical="center"/>
    </xf>
    <xf numFmtId="0" fontId="75" fillId="0" borderId="28" xfId="0" applyFont="1" applyBorder="1" applyAlignment="1">
      <alignment horizontal="center" vertical="center"/>
    </xf>
    <xf numFmtId="0" fontId="189" fillId="0" borderId="44" xfId="0" applyFont="1" applyBorder="1" applyAlignment="1">
      <alignment horizontal="left" vertical="top"/>
    </xf>
    <xf numFmtId="0" fontId="189" fillId="0" borderId="24" xfId="0" applyFont="1" applyBorder="1" applyAlignment="1">
      <alignment horizontal="center" vertical="top" wrapText="1"/>
    </xf>
    <xf numFmtId="0" fontId="176" fillId="9" borderId="0" xfId="0" applyFont="1" applyFill="1" applyAlignment="1">
      <alignment horizontal="center" vertical="center"/>
    </xf>
    <xf numFmtId="0" fontId="2" fillId="0" borderId="24" xfId="0" applyFont="1" applyBorder="1" applyAlignment="1">
      <alignment horizontal="center" vertical="center" wrapText="1"/>
    </xf>
    <xf numFmtId="0" fontId="81" fillId="0" borderId="24" xfId="0" applyFont="1" applyBorder="1" applyAlignment="1">
      <alignment horizontal="center" vertical="center" wrapText="1"/>
    </xf>
    <xf numFmtId="0" fontId="198" fillId="0" borderId="24" xfId="0" applyFont="1" applyBorder="1" applyAlignment="1">
      <alignment horizontal="center" vertical="center"/>
    </xf>
    <xf numFmtId="0" fontId="75" fillId="0" borderId="22" xfId="0" applyFont="1" applyBorder="1" applyAlignment="1">
      <alignment horizontal="center" vertical="center"/>
    </xf>
    <xf numFmtId="0" fontId="167" fillId="9" borderId="19" xfId="0" applyFont="1" applyFill="1" applyBorder="1" applyAlignment="1">
      <alignment horizontal="center" vertical="center"/>
    </xf>
    <xf numFmtId="0" fontId="167" fillId="9" borderId="45" xfId="0" applyFont="1" applyFill="1" applyBorder="1" applyAlignment="1">
      <alignment horizontal="center" vertical="center"/>
    </xf>
    <xf numFmtId="0" fontId="9" fillId="0" borderId="202" xfId="0" applyFont="1" applyBorder="1" applyAlignment="1">
      <alignment horizontal="right" vertical="center"/>
    </xf>
    <xf numFmtId="0" fontId="79" fillId="0" borderId="158" xfId="0" applyFont="1" applyBorder="1" applyAlignment="1">
      <alignment horizontal="center" vertical="center"/>
    </xf>
    <xf numFmtId="0" fontId="79" fillId="0" borderId="109" xfId="0" applyFont="1" applyBorder="1" applyAlignment="1">
      <alignment horizontal="center" vertical="center"/>
    </xf>
    <xf numFmtId="0" fontId="73" fillId="8" borderId="0" xfId="0" applyFont="1" applyFill="1" applyAlignment="1">
      <alignment vertical="center"/>
    </xf>
    <xf numFmtId="0" fontId="232" fillId="15" borderId="42" xfId="0" applyFont="1" applyFill="1" applyBorder="1" applyAlignment="1">
      <alignment horizontal="left"/>
    </xf>
    <xf numFmtId="0" fontId="143" fillId="15" borderId="8" xfId="0" applyFont="1" applyFill="1" applyBorder="1" applyAlignment="1">
      <alignment horizontal="center" vertical="center"/>
    </xf>
    <xf numFmtId="0" fontId="73" fillId="8" borderId="8" xfId="0" applyFont="1" applyFill="1" applyBorder="1" applyAlignment="1">
      <alignment vertical="center"/>
    </xf>
    <xf numFmtId="0" fontId="73" fillId="8" borderId="23" xfId="0" applyFont="1" applyFill="1" applyBorder="1" applyAlignment="1">
      <alignment vertical="center"/>
    </xf>
    <xf numFmtId="49" fontId="14" fillId="19" borderId="16" xfId="0" applyNumberFormat="1" applyFont="1" applyFill="1" applyBorder="1" applyAlignment="1">
      <alignment horizontal="right" vertical="center"/>
    </xf>
    <xf numFmtId="165" fontId="19" fillId="19" borderId="16" xfId="0" applyNumberFormat="1" applyFont="1" applyFill="1" applyBorder="1" applyAlignment="1">
      <alignment horizontal="center" vertical="center"/>
    </xf>
    <xf numFmtId="0" fontId="57" fillId="19" borderId="16" xfId="0" applyFont="1" applyFill="1" applyBorder="1" applyAlignment="1">
      <alignment horizontal="left" vertical="center" wrapText="1"/>
    </xf>
    <xf numFmtId="49" fontId="3" fillId="19" borderId="21" xfId="0" applyNumberFormat="1" applyFont="1" applyFill="1" applyBorder="1" applyAlignment="1">
      <alignment horizontal="right" vertical="center"/>
    </xf>
    <xf numFmtId="0" fontId="15" fillId="19" borderId="21" xfId="0" applyFont="1" applyFill="1" applyBorder="1" applyAlignment="1">
      <alignment horizontal="right" vertical="center"/>
    </xf>
    <xf numFmtId="165" fontId="16" fillId="19" borderId="16" xfId="0" applyNumberFormat="1" applyFont="1" applyFill="1" applyBorder="1" applyAlignment="1">
      <alignment horizontal="center" vertical="center"/>
    </xf>
    <xf numFmtId="0" fontId="73" fillId="19" borderId="3" xfId="0" applyFont="1" applyFill="1" applyBorder="1" applyAlignment="1">
      <alignment vertical="center"/>
    </xf>
    <xf numFmtId="0" fontId="73" fillId="19" borderId="18" xfId="0" applyFont="1" applyFill="1" applyBorder="1" applyAlignment="1">
      <alignment vertical="center"/>
    </xf>
    <xf numFmtId="0" fontId="31" fillId="19" borderId="40" xfId="0" applyFont="1" applyFill="1" applyBorder="1" applyAlignment="1">
      <alignment vertical="center"/>
    </xf>
    <xf numFmtId="0" fontId="9" fillId="19" borderId="3" xfId="0" applyFont="1" applyFill="1" applyBorder="1" applyAlignment="1">
      <alignment horizontal="right" vertical="center"/>
    </xf>
    <xf numFmtId="174" fontId="9" fillId="19" borderId="3" xfId="0" applyNumberFormat="1" applyFont="1" applyFill="1" applyBorder="1" applyAlignment="1">
      <alignment horizontal="left" vertical="center"/>
    </xf>
    <xf numFmtId="0" fontId="167" fillId="19" borderId="4" xfId="0" applyFont="1" applyFill="1" applyBorder="1" applyAlignment="1">
      <alignment horizontal="right" vertical="center" wrapText="1"/>
    </xf>
    <xf numFmtId="49" fontId="3" fillId="19" borderId="14" xfId="0" applyNumberFormat="1" applyFont="1" applyFill="1" applyBorder="1" applyAlignment="1">
      <alignment horizontal="right" vertical="center"/>
    </xf>
    <xf numFmtId="0" fontId="15" fillId="19" borderId="14" xfId="0" applyFont="1" applyFill="1" applyBorder="1" applyAlignment="1">
      <alignment horizontal="right" vertical="center"/>
    </xf>
    <xf numFmtId="0" fontId="73" fillId="19" borderId="16" xfId="0" applyFont="1" applyFill="1" applyBorder="1" applyAlignment="1">
      <alignment vertical="center"/>
    </xf>
    <xf numFmtId="0" fontId="31" fillId="19" borderId="54" xfId="0" applyFont="1" applyFill="1" applyBorder="1" applyAlignment="1">
      <alignment vertical="center"/>
    </xf>
    <xf numFmtId="0" fontId="9" fillId="19" borderId="16" xfId="0" applyFont="1" applyFill="1" applyBorder="1" applyAlignment="1">
      <alignment horizontal="right" vertical="center"/>
    </xf>
    <xf numFmtId="174" fontId="9" fillId="19" borderId="16" xfId="0" applyNumberFormat="1" applyFont="1" applyFill="1" applyBorder="1" applyAlignment="1">
      <alignment horizontal="left" vertical="center"/>
    </xf>
    <xf numFmtId="0" fontId="167" fillId="19" borderId="18" xfId="0" applyFont="1" applyFill="1" applyBorder="1" applyAlignment="1">
      <alignment horizontal="left" wrapText="1"/>
    </xf>
    <xf numFmtId="49" fontId="14" fillId="14" borderId="5" xfId="0" applyNumberFormat="1" applyFont="1" applyFill="1" applyBorder="1" applyAlignment="1">
      <alignment horizontal="right" vertical="center"/>
    </xf>
    <xf numFmtId="0" fontId="19" fillId="14" borderId="5" xfId="0" applyFont="1" applyFill="1" applyBorder="1" applyAlignment="1">
      <alignment horizontal="center" vertical="center"/>
    </xf>
    <xf numFmtId="0" fontId="57" fillId="14" borderId="5" xfId="0" applyFont="1" applyFill="1" applyBorder="1" applyAlignment="1">
      <alignment horizontal="left" vertical="center"/>
    </xf>
    <xf numFmtId="0" fontId="190" fillId="21" borderId="5" xfId="0" applyFont="1" applyFill="1" applyBorder="1" applyAlignment="1">
      <alignment horizontal="left" vertical="center" indent="1"/>
    </xf>
    <xf numFmtId="0" fontId="73" fillId="14" borderId="0" xfId="0" applyFont="1" applyFill="1" applyAlignment="1">
      <alignment vertical="center"/>
    </xf>
    <xf numFmtId="0" fontId="28" fillId="14" borderId="5" xfId="0" applyFont="1" applyFill="1" applyBorder="1" applyAlignment="1">
      <alignment horizontal="left"/>
    </xf>
    <xf numFmtId="0" fontId="16" fillId="14" borderId="5" xfId="0" applyFont="1" applyFill="1" applyBorder="1" applyAlignment="1">
      <alignment horizontal="right" vertical="center"/>
    </xf>
    <xf numFmtId="0" fontId="9" fillId="14" borderId="5" xfId="0" applyFont="1" applyFill="1" applyBorder="1" applyAlignment="1">
      <alignment horizontal="left" vertical="center" wrapText="1"/>
    </xf>
    <xf numFmtId="0" fontId="49" fillId="14" borderId="5" xfId="0" applyFont="1" applyFill="1" applyBorder="1" applyAlignment="1">
      <alignment horizontal="left" vertical="center" wrapText="1"/>
    </xf>
    <xf numFmtId="0" fontId="73" fillId="14" borderId="28" xfId="0" applyFont="1" applyFill="1" applyBorder="1" applyAlignment="1">
      <alignment vertical="center"/>
    </xf>
    <xf numFmtId="0" fontId="31" fillId="14" borderId="54" xfId="0" applyFont="1" applyFill="1" applyBorder="1" applyAlignment="1">
      <alignment vertical="center"/>
    </xf>
    <xf numFmtId="0" fontId="9" fillId="14" borderId="5" xfId="0" applyFont="1" applyFill="1" applyBorder="1" applyAlignment="1">
      <alignment horizontal="right" vertical="center"/>
    </xf>
    <xf numFmtId="174" fontId="9" fillId="14" borderId="5" xfId="0" applyNumberFormat="1" applyFont="1" applyFill="1" applyBorder="1" applyAlignment="1">
      <alignment horizontal="left" vertical="center" wrapText="1"/>
    </xf>
    <xf numFmtId="0" fontId="167" fillId="14" borderId="13" xfId="0" applyFont="1" applyFill="1" applyBorder="1" applyAlignment="1">
      <alignment horizontal="right" vertical="center"/>
    </xf>
    <xf numFmtId="49" fontId="3" fillId="12" borderId="10" xfId="0" applyNumberFormat="1" applyFont="1" applyFill="1" applyBorder="1" applyAlignment="1">
      <alignment horizontal="right" vertical="center"/>
    </xf>
    <xf numFmtId="165" fontId="16" fillId="12" borderId="5" xfId="0" applyNumberFormat="1" applyFont="1" applyFill="1" applyBorder="1" applyAlignment="1">
      <alignment horizontal="left" vertical="center"/>
    </xf>
    <xf numFmtId="0" fontId="2" fillId="12" borderId="10" xfId="0" applyFont="1" applyFill="1" applyBorder="1" applyAlignment="1">
      <alignment horizontal="right" vertical="center"/>
    </xf>
    <xf numFmtId="164" fontId="9" fillId="12" borderId="5" xfId="0" applyNumberFormat="1" applyFont="1" applyFill="1" applyBorder="1" applyAlignment="1">
      <alignment horizontal="center" vertical="center"/>
    </xf>
    <xf numFmtId="0" fontId="57" fillId="12" borderId="5" xfId="0" applyFont="1" applyFill="1" applyBorder="1" applyAlignment="1">
      <alignment horizontal="left" vertical="center" wrapText="1"/>
    </xf>
    <xf numFmtId="0" fontId="3" fillId="12" borderId="5" xfId="0" applyFont="1" applyFill="1" applyBorder="1" applyAlignment="1">
      <alignment horizontal="right" vertical="center" wrapText="1"/>
    </xf>
    <xf numFmtId="164" fontId="16" fillId="12" borderId="13" xfId="0" applyNumberFormat="1" applyFont="1" applyFill="1" applyBorder="1" applyAlignment="1">
      <alignment horizontal="left" vertical="center"/>
    </xf>
    <xf numFmtId="0" fontId="31" fillId="12" borderId="54" xfId="0" applyFont="1" applyFill="1" applyBorder="1" applyAlignment="1">
      <alignment vertical="center"/>
    </xf>
    <xf numFmtId="0" fontId="16" fillId="6" borderId="5" xfId="0" applyFont="1" applyFill="1" applyBorder="1" applyAlignment="1">
      <alignment horizontal="right" vertical="center"/>
    </xf>
    <xf numFmtId="174" fontId="9" fillId="6" borderId="5" xfId="0" applyNumberFormat="1" applyFont="1" applyFill="1" applyBorder="1" applyAlignment="1">
      <alignment horizontal="left" vertical="center" wrapText="1"/>
    </xf>
    <xf numFmtId="0" fontId="167" fillId="6" borderId="13" xfId="0" applyFont="1" applyFill="1" applyBorder="1" applyAlignment="1">
      <alignment horizontal="right" vertical="center"/>
    </xf>
    <xf numFmtId="49" fontId="14" fillId="12" borderId="5" xfId="0" applyNumberFormat="1" applyFont="1" applyFill="1" applyBorder="1" applyAlignment="1">
      <alignment horizontal="right" vertical="center"/>
    </xf>
    <xf numFmtId="165" fontId="194" fillId="12" borderId="5" xfId="0" applyNumberFormat="1" applyFont="1" applyFill="1" applyBorder="1" applyAlignment="1">
      <alignment horizontal="left" vertical="center"/>
    </xf>
    <xf numFmtId="164" fontId="16" fillId="12" borderId="5" xfId="0" applyNumberFormat="1" applyFont="1" applyFill="1" applyBorder="1" applyAlignment="1">
      <alignment horizontal="center" vertical="center"/>
    </xf>
    <xf numFmtId="0" fontId="194" fillId="12" borderId="5" xfId="0" applyFont="1" applyFill="1" applyBorder="1" applyAlignment="1">
      <alignment vertical="center"/>
    </xf>
    <xf numFmtId="0" fontId="16" fillId="12" borderId="5" xfId="0" applyFont="1" applyFill="1" applyBorder="1" applyAlignment="1">
      <alignment horizontal="right" vertical="center"/>
    </xf>
    <xf numFmtId="0" fontId="73" fillId="12" borderId="16" xfId="0" applyFont="1" applyFill="1" applyBorder="1" applyAlignment="1">
      <alignment vertical="center"/>
    </xf>
    <xf numFmtId="0" fontId="167" fillId="12" borderId="13" xfId="0" applyFont="1" applyFill="1" applyBorder="1" applyAlignment="1">
      <alignment vertical="center"/>
    </xf>
    <xf numFmtId="0" fontId="99" fillId="0" borderId="0" xfId="0" applyFont="1" applyAlignment="1">
      <alignment horizontal="right" vertical="top"/>
    </xf>
    <xf numFmtId="0" fontId="205" fillId="0" borderId="57" xfId="0" applyFont="1" applyBorder="1"/>
    <xf numFmtId="0" fontId="113" fillId="0" borderId="57" xfId="0" applyFont="1" applyBorder="1" applyAlignment="1">
      <alignment vertical="center"/>
    </xf>
    <xf numFmtId="0" fontId="19" fillId="0" borderId="0" xfId="0" applyFont="1" applyAlignment="1">
      <alignment horizontal="center" vertical="center"/>
    </xf>
    <xf numFmtId="0" fontId="162" fillId="0" borderId="57" xfId="0" applyFont="1" applyBorder="1" applyAlignment="1">
      <alignment horizontal="right" vertical="center"/>
    </xf>
    <xf numFmtId="0" fontId="31" fillId="0" borderId="57" xfId="0" applyFont="1" applyBorder="1" applyAlignment="1">
      <alignment vertical="center"/>
    </xf>
    <xf numFmtId="0" fontId="221" fillId="0" borderId="57" xfId="0" applyFont="1" applyBorder="1"/>
    <xf numFmtId="0" fontId="56" fillId="0" borderId="57" xfId="0" applyFont="1" applyBorder="1" applyAlignment="1">
      <alignment horizontal="left" vertical="center"/>
    </xf>
    <xf numFmtId="0" fontId="73" fillId="0" borderId="57" xfId="0" applyFont="1" applyBorder="1" applyAlignment="1">
      <alignment vertical="center"/>
    </xf>
    <xf numFmtId="0" fontId="221" fillId="0" borderId="57" xfId="0" applyFont="1" applyBorder="1" applyAlignment="1">
      <alignment horizontal="right"/>
    </xf>
    <xf numFmtId="0" fontId="73" fillId="8" borderId="183" xfId="0" applyFont="1" applyFill="1" applyBorder="1" applyAlignment="1">
      <alignment vertical="center"/>
    </xf>
    <xf numFmtId="0" fontId="206" fillId="8" borderId="165" xfId="0" applyFont="1" applyFill="1" applyBorder="1" applyAlignment="1">
      <alignment horizontal="left"/>
    </xf>
    <xf numFmtId="0" fontId="163" fillId="8" borderId="165" xfId="0" applyFont="1" applyFill="1" applyBorder="1" applyAlignment="1">
      <alignment horizontal="center" vertical="center"/>
    </xf>
    <xf numFmtId="0" fontId="192" fillId="8" borderId="0" xfId="0" applyFont="1" applyFill="1" applyAlignment="1">
      <alignment horizontal="center" vertical="center"/>
    </xf>
    <xf numFmtId="0" fontId="31" fillId="8" borderId="91" xfId="0" applyFont="1" applyFill="1" applyBorder="1" applyAlignment="1">
      <alignment vertical="center"/>
    </xf>
    <xf numFmtId="0" fontId="31" fillId="8" borderId="0" xfId="0" applyFont="1" applyFill="1" applyAlignment="1">
      <alignment vertical="center"/>
    </xf>
    <xf numFmtId="0" fontId="37" fillId="8" borderId="165" xfId="0" applyFont="1" applyFill="1" applyBorder="1" applyAlignment="1">
      <alignment horizontal="center" vertical="center"/>
    </xf>
    <xf numFmtId="0" fontId="124" fillId="0" borderId="0" xfId="0" applyFont="1" applyAlignment="1">
      <alignment horizontal="center"/>
    </xf>
    <xf numFmtId="0" fontId="73" fillId="8" borderId="44" xfId="0" applyFont="1" applyFill="1" applyBorder="1" applyAlignment="1">
      <alignment vertical="center"/>
    </xf>
    <xf numFmtId="0" fontId="206" fillId="8" borderId="24" xfId="0" applyFont="1" applyFill="1" applyBorder="1" applyAlignment="1">
      <alignment horizontal="left" vertical="top"/>
    </xf>
    <xf numFmtId="0" fontId="163" fillId="8" borderId="24" xfId="0" applyFont="1" applyFill="1" applyBorder="1" applyAlignment="1">
      <alignment horizontal="center" vertical="center"/>
    </xf>
    <xf numFmtId="0" fontId="73" fillId="8" borderId="24" xfId="0" applyFont="1" applyFill="1" applyBorder="1" applyAlignment="1">
      <alignment vertical="center"/>
    </xf>
    <xf numFmtId="0" fontId="31" fillId="8" borderId="22" xfId="0" applyFont="1" applyFill="1" applyBorder="1" applyAlignment="1">
      <alignment vertical="center"/>
    </xf>
    <xf numFmtId="0" fontId="31" fillId="8" borderId="24" xfId="0" applyFont="1" applyFill="1" applyBorder="1" applyAlignment="1">
      <alignment vertical="center"/>
    </xf>
    <xf numFmtId="0" fontId="37" fillId="8" borderId="24" xfId="0" applyFont="1" applyFill="1" applyBorder="1" applyAlignment="1">
      <alignment horizontal="center" vertical="center"/>
    </xf>
    <xf numFmtId="0" fontId="73" fillId="0" borderId="40" xfId="0" applyFont="1" applyBorder="1" applyAlignment="1">
      <alignment vertical="center"/>
    </xf>
    <xf numFmtId="0" fontId="40" fillId="0" borderId="16" xfId="0" applyFont="1" applyBorder="1" applyAlignment="1">
      <alignment horizontal="right" vertical="center"/>
    </xf>
    <xf numFmtId="0" fontId="80" fillId="0" borderId="0" xfId="0" applyFont="1" applyAlignment="1">
      <alignment horizontal="left" vertical="center"/>
    </xf>
    <xf numFmtId="0" fontId="239" fillId="0" borderId="16" xfId="0" applyFont="1" applyBorder="1" applyAlignment="1">
      <alignment vertical="center"/>
    </xf>
    <xf numFmtId="0" fontId="125" fillId="0" borderId="0" xfId="0" applyFont="1" applyAlignment="1">
      <alignment horizontal="right" vertical="center"/>
    </xf>
    <xf numFmtId="0" fontId="238" fillId="0" borderId="16" xfId="0" applyFont="1" applyBorder="1" applyAlignment="1">
      <alignment horizontal="left" vertical="center"/>
    </xf>
    <xf numFmtId="0" fontId="239" fillId="0" borderId="0" xfId="0" applyFont="1" applyAlignment="1">
      <alignment vertical="center"/>
    </xf>
    <xf numFmtId="0" fontId="125" fillId="0" borderId="16" xfId="0" applyFont="1" applyBorder="1" applyAlignment="1">
      <alignment horizontal="right" vertical="center"/>
    </xf>
    <xf numFmtId="0" fontId="238" fillId="0" borderId="16" xfId="0" applyFont="1" applyBorder="1" applyAlignment="1">
      <alignment vertical="center"/>
    </xf>
    <xf numFmtId="0" fontId="125" fillId="0" borderId="3" xfId="0" applyFont="1" applyBorder="1" applyAlignment="1">
      <alignment horizontal="right" vertical="center" wrapText="1"/>
    </xf>
    <xf numFmtId="0" fontId="3" fillId="0" borderId="0" xfId="0" applyFont="1" applyAlignment="1">
      <alignment horizontal="left" vertical="center"/>
    </xf>
    <xf numFmtId="0" fontId="202" fillId="0" borderId="24" xfId="0" applyFont="1" applyBorder="1" applyAlignment="1">
      <alignment horizontal="right" vertical="center"/>
    </xf>
    <xf numFmtId="0" fontId="238" fillId="0" borderId="8" xfId="0" applyFont="1" applyBorder="1" applyAlignment="1">
      <alignment horizontal="left" vertical="center"/>
    </xf>
    <xf numFmtId="0" fontId="239" fillId="0" borderId="24" xfId="0" applyFont="1" applyBorder="1" applyAlignment="1">
      <alignment vertical="center"/>
    </xf>
    <xf numFmtId="0" fontId="28" fillId="0" borderId="8" xfId="0" applyFont="1" applyBorder="1" applyAlignment="1">
      <alignment horizontal="right" vertical="center"/>
    </xf>
    <xf numFmtId="171" fontId="94" fillId="0" borderId="24" xfId="0" applyNumberFormat="1" applyFont="1" applyBorder="1" applyAlignment="1">
      <alignment horizontal="left" vertical="center"/>
    </xf>
    <xf numFmtId="0" fontId="28" fillId="0" borderId="24" xfId="0" applyFont="1" applyBorder="1" applyAlignment="1">
      <alignment horizontal="right" vertical="center"/>
    </xf>
    <xf numFmtId="0" fontId="2" fillId="0" borderId="28" xfId="0" applyFont="1" applyBorder="1" applyAlignment="1">
      <alignment horizontal="center" vertical="center" wrapText="1"/>
    </xf>
    <xf numFmtId="0" fontId="11" fillId="17" borderId="51" xfId="0" applyFont="1" applyFill="1" applyBorder="1" applyAlignment="1">
      <alignment horizontal="center"/>
    </xf>
    <xf numFmtId="0" fontId="11" fillId="17" borderId="0" xfId="0" applyFont="1" applyFill="1" applyAlignment="1">
      <alignment horizontal="center"/>
    </xf>
    <xf numFmtId="0" fontId="11" fillId="17" borderId="169" xfId="0" applyFont="1" applyFill="1" applyBorder="1" applyAlignment="1">
      <alignment horizontal="center"/>
    </xf>
    <xf numFmtId="0" fontId="11" fillId="6" borderId="181" xfId="0" applyFont="1" applyFill="1" applyBorder="1" applyAlignment="1">
      <alignment horizontal="center"/>
    </xf>
    <xf numFmtId="0" fontId="26" fillId="6" borderId="0" xfId="0" applyFont="1" applyFill="1" applyAlignment="1">
      <alignment horizontal="center"/>
    </xf>
    <xf numFmtId="0" fontId="26" fillId="6" borderId="169" xfId="0" applyFont="1" applyFill="1" applyBorder="1" applyAlignment="1">
      <alignment horizontal="center"/>
    </xf>
    <xf numFmtId="0" fontId="35" fillId="8" borderId="45" xfId="0" applyFont="1" applyFill="1" applyBorder="1" applyAlignment="1">
      <alignment horizontal="center" wrapText="1"/>
    </xf>
    <xf numFmtId="0" fontId="35" fillId="8" borderId="170" xfId="0" applyFont="1" applyFill="1" applyBorder="1" applyAlignment="1">
      <alignment horizontal="center"/>
    </xf>
    <xf numFmtId="0" fontId="158" fillId="8" borderId="28" xfId="0" applyFont="1" applyFill="1" applyBorder="1" applyAlignment="1">
      <alignment horizontal="right" vertical="center"/>
    </xf>
    <xf numFmtId="0" fontId="158" fillId="0" borderId="51" xfId="0" applyFont="1" applyBorder="1" applyAlignment="1">
      <alignment horizontal="left" vertical="center"/>
    </xf>
    <xf numFmtId="0" fontId="110" fillId="8" borderId="0" xfId="0" applyFont="1" applyFill="1" applyAlignment="1">
      <alignment horizontal="left" vertical="center"/>
    </xf>
    <xf numFmtId="0" fontId="75" fillId="8" borderId="0" xfId="0" applyFont="1" applyFill="1" applyAlignment="1">
      <alignment vertical="center"/>
    </xf>
    <xf numFmtId="0" fontId="3" fillId="6" borderId="181" xfId="0" applyFont="1" applyFill="1" applyBorder="1" applyAlignment="1">
      <alignment horizontal="center" vertical="top" wrapText="1"/>
    </xf>
    <xf numFmtId="0" fontId="3" fillId="6" borderId="0" xfId="0" applyFont="1" applyFill="1" applyAlignment="1">
      <alignment horizontal="center" vertical="top" wrapText="1"/>
    </xf>
    <xf numFmtId="0" fontId="35" fillId="8" borderId="181" xfId="0" applyFont="1" applyFill="1" applyBorder="1" applyAlignment="1">
      <alignment horizontal="center" vertical="center" wrapText="1"/>
    </xf>
    <xf numFmtId="0" fontId="108" fillId="8" borderId="0" xfId="0" applyFont="1" applyFill="1" applyAlignment="1">
      <alignment horizontal="right" vertical="center"/>
    </xf>
    <xf numFmtId="0" fontId="13" fillId="0" borderId="28" xfId="0" applyFont="1" applyBorder="1" applyAlignment="1">
      <alignment horizontal="center" vertical="top" wrapText="1"/>
    </xf>
    <xf numFmtId="0" fontId="73" fillId="6" borderId="181" xfId="0" applyFont="1" applyFill="1" applyBorder="1" applyAlignment="1">
      <alignment vertical="center"/>
    </xf>
    <xf numFmtId="0" fontId="9" fillId="6" borderId="0" xfId="0" applyFont="1" applyFill="1" applyAlignment="1">
      <alignment horizontal="right" vertical="center"/>
    </xf>
    <xf numFmtId="0" fontId="83" fillId="8" borderId="181" xfId="0" applyFont="1" applyFill="1" applyBorder="1" applyAlignment="1">
      <alignment horizontal="center"/>
    </xf>
    <xf numFmtId="0" fontId="9" fillId="8" borderId="28" xfId="0" applyFont="1" applyFill="1" applyBorder="1" applyAlignment="1">
      <alignment horizontal="right" vertical="center"/>
    </xf>
    <xf numFmtId="0" fontId="9" fillId="0" borderId="45" xfId="0" applyFont="1" applyBorder="1" applyAlignment="1">
      <alignment horizontal="left" vertical="center" indent="1"/>
    </xf>
    <xf numFmtId="0" fontId="49" fillId="0" borderId="135" xfId="0" applyFont="1" applyBorder="1" applyAlignment="1">
      <alignment horizontal="right"/>
    </xf>
    <xf numFmtId="0" fontId="95" fillId="17" borderId="0" xfId="0" applyFont="1" applyFill="1" applyAlignment="1">
      <alignment vertical="center"/>
    </xf>
    <xf numFmtId="0" fontId="95" fillId="17" borderId="0" xfId="0" applyFont="1" applyFill="1" applyAlignment="1">
      <alignment horizontal="right" vertical="top"/>
    </xf>
    <xf numFmtId="176" fontId="108" fillId="17" borderId="169" xfId="0" applyNumberFormat="1" applyFont="1" applyFill="1" applyBorder="1" applyAlignment="1">
      <alignment horizontal="left" vertical="top"/>
    </xf>
    <xf numFmtId="0" fontId="13" fillId="8" borderId="28" xfId="0" applyFont="1" applyFill="1" applyBorder="1" applyAlignment="1">
      <alignment horizontal="center" vertical="center"/>
    </xf>
    <xf numFmtId="0" fontId="41" fillId="0" borderId="28" xfId="0" applyFont="1" applyBorder="1" applyAlignment="1">
      <alignment horizontal="center" vertical="center"/>
    </xf>
    <xf numFmtId="0" fontId="9" fillId="0" borderId="111" xfId="0" applyFont="1" applyBorder="1" applyAlignment="1">
      <alignment horizontal="left" vertical="center" indent="1"/>
    </xf>
    <xf numFmtId="0" fontId="73" fillId="0" borderId="12" xfId="0" applyFont="1" applyBorder="1" applyAlignment="1">
      <alignment vertical="center"/>
    </xf>
    <xf numFmtId="0" fontId="16" fillId="17" borderId="0" xfId="0" applyFont="1" applyFill="1" applyAlignment="1">
      <alignment vertical="center"/>
    </xf>
    <xf numFmtId="0" fontId="73" fillId="17" borderId="0" xfId="0" applyFont="1" applyFill="1" applyAlignment="1">
      <alignment vertical="center"/>
    </xf>
    <xf numFmtId="0" fontId="125" fillId="6" borderId="181" xfId="0" applyFont="1" applyFill="1" applyBorder="1" applyAlignment="1">
      <alignment horizontal="center" vertical="center" wrapText="1"/>
    </xf>
    <xf numFmtId="0" fontId="125" fillId="6" borderId="169" xfId="0" applyFont="1" applyFill="1" applyBorder="1" applyAlignment="1">
      <alignment horizontal="center" vertical="center" wrapText="1"/>
    </xf>
    <xf numFmtId="0" fontId="231" fillId="8" borderId="181" xfId="0" applyFont="1" applyFill="1" applyBorder="1" applyAlignment="1">
      <alignment horizontal="right"/>
    </xf>
    <xf numFmtId="0" fontId="98" fillId="8" borderId="46" xfId="0" applyFont="1" applyFill="1" applyBorder="1" applyAlignment="1">
      <alignment horizontal="center" vertical="center" wrapText="1"/>
    </xf>
    <xf numFmtId="0" fontId="9" fillId="0" borderId="16" xfId="0" applyFont="1" applyBorder="1" applyAlignment="1">
      <alignment horizontal="left" vertical="center" indent="1"/>
    </xf>
    <xf numFmtId="0" fontId="2" fillId="6" borderId="0" xfId="0" applyFont="1" applyFill="1" applyAlignment="1">
      <alignment horizontal="right" vertical="center"/>
    </xf>
    <xf numFmtId="0" fontId="13" fillId="6" borderId="169" xfId="0" applyFont="1" applyFill="1" applyBorder="1" applyAlignment="1">
      <alignment horizontal="center" vertical="center"/>
    </xf>
    <xf numFmtId="0" fontId="231" fillId="8" borderId="181" xfId="0" applyFont="1" applyFill="1" applyBorder="1" applyAlignment="1">
      <alignment horizontal="right" vertical="center"/>
    </xf>
    <xf numFmtId="0" fontId="2" fillId="8" borderId="0" xfId="0" applyFont="1" applyFill="1" applyAlignment="1">
      <alignment horizontal="center" vertical="center"/>
    </xf>
    <xf numFmtId="0" fontId="218" fillId="8" borderId="0" xfId="0" applyFont="1" applyFill="1" applyAlignment="1">
      <alignment horizontal="right" vertical="center"/>
    </xf>
    <xf numFmtId="0" fontId="13" fillId="0" borderId="28" xfId="0" applyFont="1" applyBorder="1" applyAlignment="1">
      <alignment horizontal="center" vertical="center"/>
    </xf>
    <xf numFmtId="0" fontId="9" fillId="0" borderId="5" xfId="0" applyFont="1" applyBorder="1" applyAlignment="1">
      <alignment horizontal="left" vertical="center" indent="1"/>
    </xf>
    <xf numFmtId="0" fontId="31" fillId="0" borderId="5" xfId="0" applyFont="1" applyBorder="1" applyAlignment="1">
      <alignment vertical="center"/>
    </xf>
    <xf numFmtId="0" fontId="73" fillId="6" borderId="172" xfId="0" applyFont="1" applyFill="1" applyBorder="1" applyAlignment="1">
      <alignment vertical="center"/>
    </xf>
    <xf numFmtId="0" fontId="204" fillId="6" borderId="166" xfId="0" applyFont="1" applyFill="1" applyBorder="1" applyAlignment="1">
      <alignment horizontal="center" vertical="center"/>
    </xf>
    <xf numFmtId="0" fontId="231" fillId="8" borderId="172" xfId="0" applyFont="1" applyFill="1" applyBorder="1" applyAlignment="1">
      <alignment horizontal="right" vertical="top"/>
    </xf>
    <xf numFmtId="0" fontId="204" fillId="8" borderId="24" xfId="0" applyFont="1" applyFill="1" applyBorder="1" applyAlignment="1">
      <alignment horizontal="left" vertical="center"/>
    </xf>
    <xf numFmtId="0" fontId="204" fillId="8" borderId="25" xfId="0" applyFont="1" applyFill="1" applyBorder="1" applyAlignment="1">
      <alignment horizontal="center" vertical="center"/>
    </xf>
    <xf numFmtId="0" fontId="196" fillId="8" borderId="27" xfId="0" applyFont="1" applyFill="1" applyBorder="1" applyAlignment="1">
      <alignment horizontal="right" vertical="center"/>
    </xf>
    <xf numFmtId="0" fontId="126" fillId="8" borderId="22" xfId="0" applyFont="1" applyFill="1" applyBorder="1" applyAlignment="1">
      <alignment horizontal="center" vertical="center"/>
    </xf>
    <xf numFmtId="0" fontId="126" fillId="0" borderId="28" xfId="0" applyFont="1" applyBorder="1" applyAlignment="1">
      <alignment horizontal="center" vertical="center"/>
    </xf>
    <xf numFmtId="0" fontId="122" fillId="0" borderId="124" xfId="0" applyFont="1" applyBorder="1" applyAlignment="1">
      <alignment horizontal="left" vertical="center"/>
    </xf>
    <xf numFmtId="0" fontId="154" fillId="0" borderId="45" xfId="0" applyFont="1" applyBorder="1" applyAlignment="1">
      <alignment vertical="center"/>
    </xf>
    <xf numFmtId="0" fontId="73" fillId="0" borderId="92" xfId="0" applyFont="1" applyBorder="1" applyAlignment="1">
      <alignment vertical="center"/>
    </xf>
    <xf numFmtId="0" fontId="100" fillId="9" borderId="0" xfId="0" applyFont="1" applyFill="1" applyAlignment="1">
      <alignment vertical="center"/>
    </xf>
    <xf numFmtId="0" fontId="214" fillId="9" borderId="168" xfId="0" applyFont="1" applyFill="1" applyBorder="1" applyAlignment="1">
      <alignment vertical="center"/>
    </xf>
    <xf numFmtId="0" fontId="214" fillId="0" borderId="0" xfId="0" applyFont="1" applyAlignment="1">
      <alignment vertical="center"/>
    </xf>
    <xf numFmtId="0" fontId="319" fillId="0" borderId="0" xfId="0" applyFont="1" applyAlignment="1">
      <alignment horizontal="right" vertical="top"/>
    </xf>
    <xf numFmtId="0" fontId="79" fillId="0" borderId="28" xfId="0" applyFont="1" applyBorder="1" applyAlignment="1">
      <alignment horizontal="center"/>
    </xf>
    <xf numFmtId="0" fontId="9" fillId="0" borderId="51" xfId="0" applyFont="1" applyBorder="1" applyAlignment="1">
      <alignment horizontal="left" vertical="center" indent="1"/>
    </xf>
    <xf numFmtId="0" fontId="9" fillId="0" borderId="28" xfId="0" applyFont="1" applyBorder="1" applyAlignment="1">
      <alignment vertical="center"/>
    </xf>
    <xf numFmtId="0" fontId="79" fillId="0" borderId="28" xfId="0" applyFont="1" applyBorder="1" applyAlignment="1">
      <alignment horizontal="center" vertical="top"/>
    </xf>
    <xf numFmtId="0" fontId="99" fillId="0" borderId="5" xfId="0" applyFont="1" applyBorder="1" applyAlignment="1">
      <alignment horizontal="right" vertical="center"/>
    </xf>
    <xf numFmtId="0" fontId="9" fillId="0" borderId="51" xfId="0" applyFont="1" applyBorder="1" applyAlignment="1">
      <alignment horizontal="left" indent="1"/>
    </xf>
    <xf numFmtId="0" fontId="230" fillId="11" borderId="181" xfId="0" applyFont="1" applyFill="1" applyBorder="1" applyAlignment="1">
      <alignment vertical="center"/>
    </xf>
    <xf numFmtId="0" fontId="172" fillId="11" borderId="0" xfId="0" applyFont="1" applyFill="1" applyAlignment="1">
      <alignment horizontal="right" vertical="center"/>
    </xf>
    <xf numFmtId="171" fontId="172" fillId="11" borderId="46" xfId="0" applyNumberFormat="1" applyFont="1" applyFill="1" applyBorder="1" applyAlignment="1">
      <alignment horizontal="left" vertical="center"/>
    </xf>
    <xf numFmtId="0" fontId="248" fillId="11" borderId="0" xfId="0" applyFont="1" applyFill="1" applyAlignment="1">
      <alignment vertical="center"/>
    </xf>
    <xf numFmtId="171" fontId="172" fillId="11" borderId="28" xfId="0" applyNumberFormat="1" applyFont="1" applyFill="1" applyBorder="1" applyAlignment="1">
      <alignment horizontal="left" vertical="center"/>
    </xf>
    <xf numFmtId="171" fontId="172" fillId="0" borderId="104" xfId="0" applyNumberFormat="1" applyFont="1" applyBorder="1" applyAlignment="1">
      <alignment horizontal="left" vertical="center"/>
    </xf>
    <xf numFmtId="0" fontId="9" fillId="0" borderId="8" xfId="0" applyFont="1" applyBorder="1" applyAlignment="1">
      <alignment horizontal="left" vertical="center" indent="1"/>
    </xf>
    <xf numFmtId="0" fontId="31" fillId="0" borderId="8" xfId="0" applyFont="1" applyBorder="1" applyAlignment="1">
      <alignment vertical="center"/>
    </xf>
    <xf numFmtId="0" fontId="128" fillId="0" borderId="8" xfId="0" applyFont="1" applyBorder="1" applyAlignment="1">
      <alignment horizontal="left" vertical="center" wrapText="1"/>
    </xf>
    <xf numFmtId="0" fontId="73" fillId="0" borderId="11" xfId="0" applyFont="1" applyBorder="1" applyAlignment="1">
      <alignment vertical="center"/>
    </xf>
    <xf numFmtId="0" fontId="16" fillId="0" borderId="51" xfId="0" applyFont="1" applyBorder="1" applyAlignment="1">
      <alignment horizontal="left" vertical="center" indent="1"/>
    </xf>
    <xf numFmtId="0" fontId="92" fillId="0" borderId="28" xfId="0" applyFont="1" applyBorder="1" applyAlignment="1">
      <alignment vertical="center"/>
    </xf>
    <xf numFmtId="0" fontId="216" fillId="0" borderId="172" xfId="0" applyFont="1" applyBorder="1" applyAlignment="1">
      <alignment vertical="center"/>
    </xf>
    <xf numFmtId="0" fontId="185" fillId="0" borderId="24" xfId="0" applyFont="1" applyBorder="1" applyAlignment="1">
      <alignment horizontal="right"/>
    </xf>
    <xf numFmtId="171" fontId="185" fillId="0" borderId="166" xfId="0" applyNumberFormat="1" applyFont="1" applyBorder="1" applyAlignment="1">
      <alignment horizontal="left"/>
    </xf>
    <xf numFmtId="0" fontId="216" fillId="11" borderId="181" xfId="0" applyFont="1" applyFill="1" applyBorder="1" applyAlignment="1">
      <alignment vertical="center"/>
    </xf>
    <xf numFmtId="0" fontId="185" fillId="11" borderId="0" xfId="0" applyFont="1" applyFill="1" applyAlignment="1">
      <alignment horizontal="right"/>
    </xf>
    <xf numFmtId="171" fontId="185" fillId="11" borderId="46" xfId="0" applyNumberFormat="1" applyFont="1" applyFill="1" applyBorder="1" applyAlignment="1">
      <alignment horizontal="left"/>
    </xf>
    <xf numFmtId="0" fontId="185" fillId="11" borderId="0" xfId="0" applyFont="1" applyFill="1" applyAlignment="1">
      <alignment horizontal="center"/>
    </xf>
    <xf numFmtId="171" fontId="185" fillId="11" borderId="28" xfId="0" applyNumberFormat="1" applyFont="1" applyFill="1" applyBorder="1" applyAlignment="1">
      <alignment horizontal="left"/>
    </xf>
    <xf numFmtId="171" fontId="79" fillId="0" borderId="0" xfId="0" applyNumberFormat="1" applyFont="1" applyAlignment="1">
      <alignment horizontal="left"/>
    </xf>
    <xf numFmtId="0" fontId="69" fillId="0" borderId="45" xfId="0" applyFont="1" applyBorder="1" applyAlignment="1">
      <alignment horizontal="left" vertical="top" indent="1"/>
    </xf>
    <xf numFmtId="0" fontId="4" fillId="0" borderId="0" xfId="0" applyFont="1" applyAlignment="1">
      <alignment vertical="center"/>
    </xf>
    <xf numFmtId="0" fontId="79" fillId="0" borderId="0" xfId="0" applyFont="1" applyAlignment="1">
      <alignment horizontal="center"/>
    </xf>
    <xf numFmtId="0" fontId="99" fillId="0" borderId="28" xfId="0" applyFont="1" applyBorder="1" applyAlignment="1">
      <alignment horizontal="right" vertical="top"/>
    </xf>
    <xf numFmtId="0" fontId="215" fillId="9" borderId="0" xfId="0" applyFont="1" applyFill="1" applyAlignment="1">
      <alignment horizontal="center" vertical="center"/>
    </xf>
    <xf numFmtId="0" fontId="215" fillId="9" borderId="169" xfId="0" applyFont="1" applyFill="1" applyBorder="1" applyAlignment="1">
      <alignment horizontal="center" vertical="center"/>
    </xf>
    <xf numFmtId="175" fontId="172" fillId="11" borderId="46" xfId="0" applyNumberFormat="1" applyFont="1" applyFill="1" applyBorder="1" applyAlignment="1">
      <alignment horizontal="left" vertical="center"/>
    </xf>
    <xf numFmtId="0" fontId="248" fillId="11" borderId="48" xfId="0" applyFont="1" applyFill="1" applyBorder="1" applyAlignment="1">
      <alignment vertical="center"/>
    </xf>
    <xf numFmtId="175" fontId="172" fillId="11" borderId="28" xfId="0" applyNumberFormat="1" applyFont="1" applyFill="1" applyBorder="1" applyAlignment="1">
      <alignment horizontal="left" vertical="center"/>
    </xf>
    <xf numFmtId="175" fontId="172" fillId="0" borderId="0" xfId="0" applyNumberFormat="1" applyFont="1" applyAlignment="1">
      <alignment horizontal="left" vertical="center"/>
    </xf>
    <xf numFmtId="0" fontId="15" fillId="0" borderId="45" xfId="0" applyFont="1" applyBorder="1" applyAlignment="1">
      <alignment horizontal="left" vertical="center" indent="1"/>
    </xf>
    <xf numFmtId="0" fontId="73" fillId="0" borderId="135" xfId="0" applyFont="1" applyBorder="1" applyAlignment="1">
      <alignment vertical="center"/>
    </xf>
    <xf numFmtId="0" fontId="3" fillId="0" borderId="0" xfId="0" applyFont="1" applyAlignment="1">
      <alignment horizontal="center" vertical="center"/>
    </xf>
    <xf numFmtId="0" fontId="197" fillId="6" borderId="44" xfId="0" applyFont="1" applyFill="1" applyBorder="1" applyAlignment="1">
      <alignment horizontal="left"/>
    </xf>
    <xf numFmtId="0" fontId="197" fillId="6" borderId="22" xfId="0" applyFont="1" applyFill="1" applyBorder="1" applyAlignment="1">
      <alignment horizontal="left"/>
    </xf>
    <xf numFmtId="0" fontId="13" fillId="0" borderId="28" xfId="0" applyFont="1" applyBorder="1" applyAlignment="1">
      <alignment horizontal="center"/>
    </xf>
    <xf numFmtId="0" fontId="31" fillId="0" borderId="16" xfId="0" applyFont="1" applyBorder="1" applyAlignment="1">
      <alignment vertical="center"/>
    </xf>
    <xf numFmtId="0" fontId="73" fillId="0" borderId="6" xfId="0" applyFont="1" applyBorder="1" applyAlignment="1">
      <alignment vertical="center"/>
    </xf>
    <xf numFmtId="0" fontId="73" fillId="0" borderId="46" xfId="0" applyFont="1" applyBorder="1" applyAlignment="1">
      <alignment vertical="center"/>
    </xf>
    <xf numFmtId="0" fontId="185" fillId="0" borderId="0" xfId="0" applyFont="1" applyAlignment="1">
      <alignment vertical="center"/>
    </xf>
    <xf numFmtId="0" fontId="185" fillId="10" borderId="24" xfId="0" applyFont="1" applyFill="1" applyBorder="1" applyAlignment="1">
      <alignment horizontal="right"/>
    </xf>
    <xf numFmtId="171" fontId="185" fillId="10" borderId="166" xfId="0" applyNumberFormat="1" applyFont="1" applyFill="1" applyBorder="1" applyAlignment="1">
      <alignment horizontal="left"/>
    </xf>
    <xf numFmtId="0" fontId="185" fillId="11" borderId="172" xfId="0" applyFont="1" applyFill="1" applyBorder="1" applyAlignment="1">
      <alignment vertical="center"/>
    </xf>
    <xf numFmtId="0" fontId="185" fillId="11" borderId="24" xfId="0" applyFont="1" applyFill="1" applyBorder="1" applyAlignment="1">
      <alignment horizontal="right" vertical="center"/>
    </xf>
    <xf numFmtId="171" fontId="185" fillId="11" borderId="25" xfId="0" applyNumberFormat="1" applyFont="1" applyFill="1" applyBorder="1" applyAlignment="1">
      <alignment horizontal="left"/>
    </xf>
    <xf numFmtId="0" fontId="185" fillId="11" borderId="27" xfId="0" applyFont="1" applyFill="1" applyBorder="1" applyAlignment="1">
      <alignment horizontal="center"/>
    </xf>
    <xf numFmtId="171" fontId="185" fillId="11" borderId="22" xfId="0" applyNumberFormat="1" applyFont="1" applyFill="1" applyBorder="1" applyAlignment="1">
      <alignment horizontal="left"/>
    </xf>
    <xf numFmtId="171" fontId="79" fillId="0" borderId="28" xfId="0" applyNumberFormat="1" applyFont="1" applyBorder="1" applyAlignment="1">
      <alignment horizontal="left"/>
    </xf>
    <xf numFmtId="0" fontId="179" fillId="0" borderId="16" xfId="0" applyFont="1" applyBorder="1" applyAlignment="1">
      <alignment vertical="center"/>
    </xf>
    <xf numFmtId="0" fontId="251" fillId="0" borderId="16" xfId="0" applyFont="1" applyBorder="1" applyAlignment="1">
      <alignment horizontal="right" vertical="center"/>
    </xf>
    <xf numFmtId="0" fontId="15" fillId="0" borderId="46" xfId="0" applyFont="1" applyBorder="1" applyAlignment="1">
      <alignment vertical="center"/>
    </xf>
    <xf numFmtId="0" fontId="151" fillId="0" borderId="16" xfId="0" applyFont="1" applyBorder="1" applyAlignment="1">
      <alignment vertical="center"/>
    </xf>
    <xf numFmtId="0" fontId="16" fillId="0" borderId="24" xfId="0" applyFont="1" applyBorder="1" applyAlignment="1">
      <alignment horizontal="left" vertical="center"/>
    </xf>
    <xf numFmtId="0" fontId="31" fillId="0" borderId="24" xfId="0" applyFont="1" applyBorder="1" applyAlignment="1">
      <alignment vertical="center"/>
    </xf>
    <xf numFmtId="0" fontId="100" fillId="0" borderId="0" xfId="0" applyFont="1" applyAlignment="1">
      <alignment horizontal="center"/>
    </xf>
    <xf numFmtId="0" fontId="214" fillId="0" borderId="0" xfId="0" applyFont="1"/>
    <xf numFmtId="0" fontId="346" fillId="11" borderId="181" xfId="0" applyFont="1" applyFill="1" applyBorder="1" applyAlignment="1">
      <alignment horizontal="left" vertical="top"/>
    </xf>
    <xf numFmtId="0" fontId="215" fillId="11" borderId="0" xfId="0" applyFont="1" applyFill="1" applyAlignment="1">
      <alignment horizontal="left" vertical="top"/>
    </xf>
    <xf numFmtId="0" fontId="215" fillId="11" borderId="46" xfId="0" applyFont="1" applyFill="1" applyBorder="1" applyAlignment="1">
      <alignment horizontal="left" vertical="top"/>
    </xf>
    <xf numFmtId="0" fontId="214" fillId="11" borderId="48" xfId="0" applyFont="1" applyFill="1" applyBorder="1" applyAlignment="1">
      <alignment vertical="center"/>
    </xf>
    <xf numFmtId="0" fontId="214" fillId="11" borderId="0" xfId="0" applyFont="1" applyFill="1" applyAlignment="1">
      <alignment vertical="center"/>
    </xf>
    <xf numFmtId="0" fontId="217" fillId="11" borderId="28" xfId="0" applyFont="1" applyFill="1" applyBorder="1" applyAlignment="1">
      <alignment vertical="center"/>
    </xf>
    <xf numFmtId="0" fontId="9" fillId="0" borderId="44" xfId="0" applyFont="1" applyBorder="1" applyAlignment="1">
      <alignment horizontal="left" indent="1"/>
    </xf>
    <xf numFmtId="0" fontId="9" fillId="0" borderId="24" xfId="0" applyFont="1" applyBorder="1" applyAlignment="1">
      <alignment vertical="center"/>
    </xf>
    <xf numFmtId="0" fontId="9" fillId="0" borderId="24" xfId="0" applyFont="1" applyBorder="1" applyAlignment="1">
      <alignment horizontal="right"/>
    </xf>
    <xf numFmtId="0" fontId="9" fillId="0" borderId="24" xfId="0" applyFont="1" applyBorder="1"/>
    <xf numFmtId="0" fontId="9" fillId="0" borderId="22" xfId="0" applyFont="1" applyBorder="1" applyAlignment="1">
      <alignment vertical="center"/>
    </xf>
    <xf numFmtId="0" fontId="100" fillId="0" borderId="169" xfId="0" applyFont="1" applyBorder="1" applyAlignment="1">
      <alignment horizontal="right" vertical="top"/>
    </xf>
    <xf numFmtId="0" fontId="172" fillId="11" borderId="0" xfId="0" applyFont="1" applyFill="1" applyAlignment="1">
      <alignment horizontal="center" vertical="center"/>
    </xf>
    <xf numFmtId="0" fontId="172" fillId="11" borderId="28" xfId="0" applyFont="1" applyFill="1" applyBorder="1" applyAlignment="1">
      <alignment horizontal="center" vertical="center"/>
    </xf>
    <xf numFmtId="0" fontId="170" fillId="0" borderId="42" xfId="0" applyFont="1" applyBorder="1" applyAlignment="1">
      <alignment horizontal="left" vertical="center"/>
    </xf>
    <xf numFmtId="0" fontId="170" fillId="0" borderId="23" xfId="0" applyFont="1" applyBorder="1" applyAlignment="1">
      <alignment horizontal="left" vertical="center" wrapText="1" indent="1"/>
    </xf>
    <xf numFmtId="0" fontId="214" fillId="9" borderId="0" xfId="0" applyFont="1" applyFill="1" applyAlignment="1">
      <alignment vertical="center"/>
    </xf>
    <xf numFmtId="0" fontId="214" fillId="9" borderId="166" xfId="0" applyFont="1" applyFill="1" applyBorder="1" applyAlignment="1">
      <alignment vertical="center"/>
    </xf>
    <xf numFmtId="0" fontId="100" fillId="0" borderId="24" xfId="0" applyFont="1" applyBorder="1" applyAlignment="1">
      <alignment horizontal="right" vertical="center"/>
    </xf>
    <xf numFmtId="0" fontId="73" fillId="0" borderId="166" xfId="0" applyFont="1" applyBorder="1" applyAlignment="1">
      <alignment vertical="center"/>
    </xf>
    <xf numFmtId="0" fontId="73" fillId="11" borderId="8" xfId="0" applyFont="1" applyFill="1" applyBorder="1" applyAlignment="1">
      <alignment vertical="center"/>
    </xf>
    <xf numFmtId="0" fontId="73" fillId="11" borderId="11" xfId="0" applyFont="1" applyFill="1" applyBorder="1" applyAlignment="1">
      <alignment vertical="center"/>
    </xf>
    <xf numFmtId="0" fontId="73" fillId="11" borderId="0" xfId="0" applyFont="1" applyFill="1" applyAlignment="1">
      <alignment vertical="center"/>
    </xf>
    <xf numFmtId="0" fontId="73" fillId="11" borderId="24" xfId="0" applyFont="1" applyFill="1" applyBorder="1" applyAlignment="1">
      <alignment vertical="center"/>
    </xf>
    <xf numFmtId="0" fontId="28" fillId="0" borderId="0" xfId="0" applyFont="1" applyAlignment="1">
      <alignment horizontal="center" vertical="center"/>
    </xf>
    <xf numFmtId="0" fontId="235" fillId="9" borderId="45" xfId="0" applyFont="1" applyFill="1" applyBorder="1" applyAlignment="1">
      <alignment horizontal="left" vertical="center"/>
    </xf>
    <xf numFmtId="0" fontId="224" fillId="9" borderId="45" xfId="0" applyFont="1" applyFill="1" applyBorder="1" applyAlignment="1">
      <alignment horizontal="left" vertical="top" wrapText="1"/>
    </xf>
    <xf numFmtId="0" fontId="224" fillId="9" borderId="168" xfId="0" applyFont="1" applyFill="1" applyBorder="1" applyAlignment="1">
      <alignment horizontal="left" vertical="top" wrapText="1"/>
    </xf>
    <xf numFmtId="0" fontId="224" fillId="0" borderId="170" xfId="0" applyFont="1" applyBorder="1" applyAlignment="1">
      <alignment horizontal="left" vertical="center"/>
    </xf>
    <xf numFmtId="0" fontId="224" fillId="0" borderId="45" xfId="0" applyFont="1" applyBorder="1" applyAlignment="1">
      <alignment horizontal="left" vertical="center"/>
    </xf>
    <xf numFmtId="0" fontId="224" fillId="0" borderId="168" xfId="0" applyFont="1" applyBorder="1" applyAlignment="1">
      <alignment horizontal="left" vertical="center"/>
    </xf>
    <xf numFmtId="0" fontId="212" fillId="11" borderId="45" xfId="0" applyFont="1" applyFill="1" applyBorder="1" applyAlignment="1">
      <alignment horizontal="center" vertical="center" wrapText="1"/>
    </xf>
    <xf numFmtId="0" fontId="212" fillId="11" borderId="135" xfId="0" applyFont="1" applyFill="1" applyBorder="1" applyAlignment="1">
      <alignment horizontal="center" vertical="center" wrapText="1"/>
    </xf>
    <xf numFmtId="0" fontId="72" fillId="0" borderId="28" xfId="0" applyFont="1" applyBorder="1" applyAlignment="1">
      <alignment horizontal="center" vertical="center" wrapText="1"/>
    </xf>
    <xf numFmtId="0" fontId="237" fillId="19" borderId="0" xfId="0" applyFont="1" applyFill="1" applyAlignment="1">
      <alignment vertical="top"/>
    </xf>
    <xf numFmtId="0" fontId="224" fillId="9" borderId="0" xfId="0" applyFont="1" applyFill="1" applyAlignment="1">
      <alignment horizontal="left" vertical="top" wrapText="1"/>
    </xf>
    <xf numFmtId="0" fontId="224" fillId="9" borderId="169" xfId="0" applyFont="1" applyFill="1" applyBorder="1" applyAlignment="1">
      <alignment horizontal="left" vertical="top" wrapText="1"/>
    </xf>
    <xf numFmtId="0" fontId="224" fillId="0" borderId="181" xfId="0" applyFont="1" applyBorder="1" applyAlignment="1">
      <alignment horizontal="left" vertical="center"/>
    </xf>
    <xf numFmtId="0" fontId="224" fillId="0" borderId="0" xfId="0" applyFont="1" applyAlignment="1">
      <alignment horizontal="left" vertical="center"/>
    </xf>
    <xf numFmtId="0" fontId="224" fillId="0" borderId="169" xfId="0" applyFont="1" applyBorder="1" applyAlignment="1">
      <alignment horizontal="left" vertical="center"/>
    </xf>
    <xf numFmtId="0" fontId="211" fillId="11" borderId="0" xfId="0" applyFont="1" applyFill="1" applyAlignment="1">
      <alignment vertical="center"/>
    </xf>
    <xf numFmtId="0" fontId="212" fillId="11" borderId="0" xfId="0" applyFont="1" applyFill="1" applyAlignment="1">
      <alignment horizontal="center" vertical="center" wrapText="1"/>
    </xf>
    <xf numFmtId="0" fontId="212" fillId="11" borderId="46" xfId="0" applyFont="1" applyFill="1" applyBorder="1" applyAlignment="1">
      <alignment horizontal="center" vertical="center" wrapText="1"/>
    </xf>
    <xf numFmtId="0" fontId="225" fillId="11" borderId="0" xfId="0" applyFont="1" applyFill="1" applyAlignment="1">
      <alignment horizontal="left" vertical="center" wrapText="1"/>
    </xf>
    <xf numFmtId="0" fontId="225" fillId="11" borderId="28" xfId="0" applyFont="1" applyFill="1" applyBorder="1" applyAlignment="1">
      <alignment horizontal="left" vertical="center" wrapText="1"/>
    </xf>
    <xf numFmtId="0" fontId="31" fillId="6" borderId="43" xfId="0" applyFont="1" applyFill="1" applyBorder="1" applyAlignment="1">
      <alignment vertical="center"/>
    </xf>
    <xf numFmtId="0" fontId="31" fillId="6" borderId="16" xfId="0" applyFont="1" applyFill="1" applyBorder="1" applyAlignment="1">
      <alignment vertical="center"/>
    </xf>
    <xf numFmtId="0" fontId="147" fillId="6" borderId="16" xfId="0" applyFont="1" applyFill="1" applyBorder="1" applyAlignment="1">
      <alignment horizontal="center" vertical="top"/>
    </xf>
    <xf numFmtId="0" fontId="235" fillId="9" borderId="0" xfId="0" applyFont="1" applyFill="1" applyAlignment="1">
      <alignment horizontal="left" vertical="center"/>
    </xf>
    <xf numFmtId="0" fontId="145" fillId="0" borderId="28" xfId="0" applyFont="1" applyBorder="1" applyAlignment="1">
      <alignment horizontal="center" vertical="center" wrapText="1"/>
    </xf>
    <xf numFmtId="0" fontId="19" fillId="0" borderId="16" xfId="0" applyFont="1" applyBorder="1" applyAlignment="1">
      <alignment horizontal="right" vertical="center"/>
    </xf>
    <xf numFmtId="0" fontId="237" fillId="19" borderId="0" xfId="0" applyFont="1" applyFill="1" applyAlignment="1">
      <alignment vertical="center"/>
    </xf>
    <xf numFmtId="0" fontId="16" fillId="19" borderId="0" xfId="0" applyFont="1" applyFill="1" applyAlignment="1">
      <alignment vertical="center"/>
    </xf>
    <xf numFmtId="0" fontId="73" fillId="19" borderId="169" xfId="0" applyFont="1" applyFill="1" applyBorder="1" applyAlignment="1">
      <alignment vertical="center"/>
    </xf>
    <xf numFmtId="0" fontId="19" fillId="0" borderId="5" xfId="0" applyFont="1" applyBorder="1" applyAlignment="1">
      <alignment horizontal="right" vertical="center"/>
    </xf>
    <xf numFmtId="0" fontId="2" fillId="0" borderId="51" xfId="0" applyFont="1" applyBorder="1" applyAlignment="1">
      <alignment horizontal="center" vertical="center" wrapText="1"/>
    </xf>
    <xf numFmtId="0" fontId="9" fillId="10" borderId="176" xfId="0" applyFont="1" applyFill="1" applyBorder="1" applyAlignment="1">
      <alignment horizontal="right" vertical="center"/>
    </xf>
    <xf numFmtId="0" fontId="98" fillId="10" borderId="167" xfId="0" applyFont="1" applyFill="1" applyBorder="1" applyAlignment="1">
      <alignment horizontal="left" vertical="center" wrapText="1"/>
    </xf>
    <xf numFmtId="0" fontId="9" fillId="11" borderId="182" xfId="0" applyFont="1" applyFill="1" applyBorder="1" applyAlignment="1">
      <alignment horizontal="right" vertical="center"/>
    </xf>
    <xf numFmtId="0" fontId="142" fillId="11" borderId="19" xfId="0" applyFont="1" applyFill="1" applyBorder="1" applyAlignment="1">
      <alignment horizontal="left" vertical="center" wrapText="1"/>
    </xf>
    <xf numFmtId="0" fontId="227" fillId="11" borderId="48" xfId="0" applyFont="1" applyFill="1" applyBorder="1" applyAlignment="1">
      <alignment vertical="center"/>
    </xf>
    <xf numFmtId="0" fontId="19" fillId="0" borderId="8" xfId="0" applyFont="1" applyBorder="1" applyAlignment="1">
      <alignment horizontal="right" vertical="center"/>
    </xf>
    <xf numFmtId="0" fontId="16" fillId="0" borderId="8" xfId="0" applyFont="1" applyBorder="1" applyAlignment="1">
      <alignment vertical="center"/>
    </xf>
    <xf numFmtId="0" fontId="223" fillId="9" borderId="124" xfId="0" applyFont="1" applyFill="1" applyBorder="1"/>
    <xf numFmtId="0" fontId="223" fillId="9" borderId="45" xfId="0" applyFont="1" applyFill="1" applyBorder="1" applyAlignment="1">
      <alignment horizontal="left"/>
    </xf>
    <xf numFmtId="0" fontId="223" fillId="9" borderId="168" xfId="0" applyFont="1" applyFill="1" applyBorder="1" applyAlignment="1">
      <alignment horizontal="left"/>
    </xf>
    <xf numFmtId="0" fontId="9" fillId="0" borderId="180" xfId="0" applyFont="1" applyBorder="1" applyAlignment="1">
      <alignment horizontal="right"/>
    </xf>
    <xf numFmtId="0" fontId="1" fillId="0" borderId="198" xfId="0" applyFont="1" applyBorder="1"/>
    <xf numFmtId="0" fontId="9" fillId="11" borderId="180" xfId="0" applyFont="1" applyFill="1" applyBorder="1" applyAlignment="1">
      <alignment horizontal="right" vertical="center"/>
    </xf>
    <xf numFmtId="0" fontId="98" fillId="11" borderId="12" xfId="0" applyFont="1" applyFill="1" applyBorder="1" applyAlignment="1">
      <alignment vertical="center"/>
    </xf>
    <xf numFmtId="0" fontId="127" fillId="0" borderId="28" xfId="0" applyFont="1" applyBorder="1" applyAlignment="1">
      <alignment horizontal="center" vertical="center" wrapText="1"/>
    </xf>
    <xf numFmtId="0" fontId="16" fillId="0" borderId="45" xfId="0" applyFont="1" applyBorder="1" applyAlignment="1">
      <alignment horizontal="left" indent="1"/>
    </xf>
    <xf numFmtId="0" fontId="16" fillId="0" borderId="45" xfId="0" applyFont="1" applyBorder="1" applyAlignment="1">
      <alignment vertical="center" wrapText="1"/>
    </xf>
    <xf numFmtId="0" fontId="223" fillId="9" borderId="51" xfId="0" applyFont="1" applyFill="1" applyBorder="1" applyAlignment="1">
      <alignment vertical="top"/>
    </xf>
    <xf numFmtId="0" fontId="223" fillId="9" borderId="0" xfId="0" applyFont="1" applyFill="1" applyAlignment="1">
      <alignment horizontal="center" vertical="center"/>
    </xf>
    <xf numFmtId="0" fontId="73" fillId="0" borderId="180" xfId="0" applyFont="1" applyBorder="1" applyAlignment="1">
      <alignment vertical="center"/>
    </xf>
    <xf numFmtId="0" fontId="16" fillId="0" borderId="5" xfId="0" applyFont="1" applyBorder="1" applyAlignment="1">
      <alignment horizontal="right" vertical="center"/>
    </xf>
    <xf numFmtId="171" fontId="16" fillId="0" borderId="198" xfId="0" applyNumberFormat="1" applyFont="1" applyBorder="1" applyAlignment="1">
      <alignment horizontal="left" vertical="center"/>
    </xf>
    <xf numFmtId="2" fontId="9" fillId="11" borderId="5" xfId="0" applyNumberFormat="1" applyFont="1" applyFill="1" applyBorder="1" applyAlignment="1">
      <alignment horizontal="center" vertical="center"/>
    </xf>
    <xf numFmtId="0" fontId="118" fillId="11" borderId="12" xfId="0" applyFont="1" applyFill="1" applyBorder="1" applyAlignment="1">
      <alignment horizontal="left" vertical="center"/>
    </xf>
    <xf numFmtId="0" fontId="31" fillId="11" borderId="204" xfId="0" applyFont="1" applyFill="1" applyBorder="1" applyAlignment="1">
      <alignment vertical="center"/>
    </xf>
    <xf numFmtId="0" fontId="9" fillId="0" borderId="28" xfId="0" applyFont="1" applyBorder="1" applyAlignment="1">
      <alignment wrapText="1"/>
    </xf>
    <xf numFmtId="0" fontId="223" fillId="9" borderId="51" xfId="0" applyFont="1" applyFill="1" applyBorder="1"/>
    <xf numFmtId="0" fontId="9" fillId="11" borderId="180" xfId="0" applyFont="1" applyFill="1" applyBorder="1" applyAlignment="1">
      <alignment horizontal="right" vertical="center" wrapText="1"/>
    </xf>
    <xf numFmtId="0" fontId="226" fillId="11" borderId="48" xfId="0" applyFont="1" applyFill="1" applyBorder="1" applyAlignment="1">
      <alignment vertical="center"/>
    </xf>
    <xf numFmtId="0" fontId="162" fillId="0" borderId="28" xfId="0" applyFont="1" applyBorder="1" applyAlignment="1">
      <alignment horizontal="right"/>
    </xf>
    <xf numFmtId="0" fontId="223" fillId="9" borderId="51" xfId="0" applyFont="1" applyFill="1" applyBorder="1" applyAlignment="1">
      <alignment vertical="center"/>
    </xf>
    <xf numFmtId="0" fontId="9" fillId="0" borderId="5" xfId="0" applyFont="1" applyBorder="1" applyAlignment="1">
      <alignment horizontal="right" vertical="center"/>
    </xf>
    <xf numFmtId="165" fontId="16" fillId="0" borderId="198" xfId="0" applyNumberFormat="1" applyFont="1" applyBorder="1" applyAlignment="1">
      <alignment horizontal="left" vertical="center"/>
    </xf>
    <xf numFmtId="0" fontId="118" fillId="11" borderId="12" xfId="0" applyFont="1" applyFill="1" applyBorder="1" applyAlignment="1">
      <alignment horizontal="left" vertical="center" wrapText="1"/>
    </xf>
    <xf numFmtId="49" fontId="191" fillId="11" borderId="0" xfId="0" applyNumberFormat="1" applyFont="1" applyFill="1" applyAlignment="1">
      <alignment horizontal="center" wrapText="1"/>
    </xf>
    <xf numFmtId="0" fontId="226" fillId="11" borderId="28" xfId="0" applyFont="1" applyFill="1" applyBorder="1" applyAlignment="1">
      <alignment vertical="center"/>
    </xf>
    <xf numFmtId="0" fontId="129" fillId="0" borderId="28" xfId="0" applyFont="1" applyBorder="1" applyAlignment="1">
      <alignment horizontal="center" vertical="center"/>
    </xf>
    <xf numFmtId="0" fontId="223" fillId="9" borderId="44" xfId="0" applyFont="1" applyFill="1" applyBorder="1" applyAlignment="1">
      <alignment vertical="top"/>
    </xf>
    <xf numFmtId="0" fontId="223" fillId="9" borderId="24" xfId="0" applyFont="1" applyFill="1" applyBorder="1" applyAlignment="1">
      <alignment horizontal="center"/>
    </xf>
    <xf numFmtId="0" fontId="223" fillId="9" borderId="166" xfId="0" applyFont="1" applyFill="1" applyBorder="1" applyAlignment="1">
      <alignment horizontal="center"/>
    </xf>
    <xf numFmtId="0" fontId="16" fillId="11" borderId="172" xfId="0" applyFont="1" applyFill="1" applyBorder="1" applyAlignment="1">
      <alignment horizontal="right" vertical="center"/>
    </xf>
    <xf numFmtId="0" fontId="73" fillId="11" borderId="27" xfId="0" applyFont="1" applyFill="1" applyBorder="1" applyAlignment="1">
      <alignment vertical="center"/>
    </xf>
    <xf numFmtId="0" fontId="226" fillId="11" borderId="24" xfId="0" applyFont="1" applyFill="1" applyBorder="1" applyAlignment="1">
      <alignment vertical="center"/>
    </xf>
    <xf numFmtId="0" fontId="228" fillId="11" borderId="22" xfId="0" applyFont="1" applyFill="1" applyBorder="1" applyAlignment="1">
      <alignment horizontal="center" vertical="center"/>
    </xf>
    <xf numFmtId="0" fontId="144" fillId="0" borderId="0" xfId="0" applyFont="1" applyAlignment="1">
      <alignment horizontal="right"/>
    </xf>
    <xf numFmtId="0" fontId="3" fillId="0" borderId="44" xfId="0" applyFont="1" applyBorder="1" applyAlignment="1">
      <alignment horizontal="center" vertical="top"/>
    </xf>
    <xf numFmtId="0" fontId="3" fillId="0" borderId="24" xfId="0" applyFont="1" applyBorder="1" applyAlignment="1">
      <alignment horizontal="center" vertical="top"/>
    </xf>
    <xf numFmtId="0" fontId="106" fillId="5" borderId="41" xfId="0" applyFont="1" applyFill="1" applyBorder="1" applyAlignment="1">
      <alignment horizontal="right" vertical="center"/>
    </xf>
    <xf numFmtId="0" fontId="106" fillId="5" borderId="17" xfId="0" applyFont="1" applyFill="1" applyBorder="1" applyAlignment="1">
      <alignment horizontal="center" vertical="center"/>
    </xf>
    <xf numFmtId="0" fontId="181" fillId="5" borderId="175" xfId="0" applyFont="1" applyFill="1" applyBorder="1" applyAlignment="1">
      <alignment horizontal="left" vertical="center"/>
    </xf>
    <xf numFmtId="0" fontId="176" fillId="0" borderId="24" xfId="0" applyFont="1" applyBorder="1" applyAlignment="1">
      <alignment vertical="center"/>
    </xf>
    <xf numFmtId="0" fontId="176" fillId="0" borderId="175" xfId="0" applyFont="1" applyBorder="1" applyAlignment="1">
      <alignment vertical="center"/>
    </xf>
    <xf numFmtId="0" fontId="167" fillId="0" borderId="37" xfId="0" applyFont="1" applyBorder="1" applyAlignment="1">
      <alignment horizontal="right" vertical="top"/>
    </xf>
    <xf numFmtId="0" fontId="101" fillId="0" borderId="215" xfId="0" applyFont="1" applyBorder="1" applyAlignment="1">
      <alignment horizontal="left"/>
    </xf>
    <xf numFmtId="0" fontId="1" fillId="0" borderId="57" xfId="0" applyFont="1" applyBorder="1"/>
    <xf numFmtId="0" fontId="98" fillId="0" borderId="57" xfId="0" applyFont="1" applyBorder="1" applyAlignment="1">
      <alignment horizontal="left"/>
    </xf>
    <xf numFmtId="0" fontId="120" fillId="0" borderId="57" xfId="0" applyFont="1" applyBorder="1" applyAlignment="1">
      <alignment horizontal="left"/>
    </xf>
    <xf numFmtId="0" fontId="120" fillId="0" borderId="57" xfId="0" applyFont="1" applyBorder="1"/>
    <xf numFmtId="0" fontId="215" fillId="0" borderId="57" xfId="0" applyFont="1" applyBorder="1" applyAlignment="1">
      <alignment horizontal="center"/>
    </xf>
    <xf numFmtId="0" fontId="120" fillId="0" borderId="57" xfId="0" applyFont="1" applyBorder="1" applyAlignment="1">
      <alignment vertical="center" wrapText="1"/>
    </xf>
    <xf numFmtId="0" fontId="120" fillId="0" borderId="57" xfId="0" applyFont="1" applyBorder="1" applyAlignment="1">
      <alignment horizontal="center"/>
    </xf>
    <xf numFmtId="0" fontId="120" fillId="0" borderId="57" xfId="0" applyFont="1" applyBorder="1" applyAlignment="1">
      <alignment horizontal="right"/>
    </xf>
    <xf numFmtId="0" fontId="180" fillId="0" borderId="57" xfId="0" applyFont="1" applyBorder="1" applyAlignment="1">
      <alignment vertical="center"/>
    </xf>
    <xf numFmtId="0" fontId="180" fillId="0" borderId="57" xfId="0" applyFont="1" applyBorder="1"/>
    <xf numFmtId="0" fontId="101" fillId="0" borderId="0" xfId="0" applyFont="1" applyAlignment="1">
      <alignment horizontal="left"/>
    </xf>
    <xf numFmtId="0" fontId="317" fillId="0" borderId="0" xfId="0" applyFont="1" applyAlignment="1">
      <alignment horizontal="right"/>
    </xf>
    <xf numFmtId="0" fontId="120" fillId="0" borderId="0" xfId="0" applyFont="1" applyAlignment="1">
      <alignment horizontal="left"/>
    </xf>
    <xf numFmtId="0" fontId="120" fillId="0" borderId="0" xfId="0" applyFont="1"/>
    <xf numFmtId="0" fontId="215" fillId="0" borderId="0" xfId="0" applyFont="1" applyAlignment="1">
      <alignment horizontal="center"/>
    </xf>
    <xf numFmtId="0" fontId="120" fillId="0" borderId="0" xfId="0" applyFont="1" applyAlignment="1">
      <alignment vertical="center" wrapText="1"/>
    </xf>
    <xf numFmtId="0" fontId="120" fillId="0" borderId="0" xfId="0" applyFont="1" applyAlignment="1">
      <alignment horizontal="center"/>
    </xf>
    <xf numFmtId="0" fontId="120" fillId="0" borderId="0" xfId="0" applyFont="1" applyAlignment="1">
      <alignment horizontal="right"/>
    </xf>
    <xf numFmtId="0" fontId="180" fillId="0" borderId="0" xfId="0" applyFont="1" applyAlignment="1">
      <alignment vertical="center"/>
    </xf>
    <xf numFmtId="0" fontId="180" fillId="0" borderId="0" xfId="0" applyFont="1"/>
    <xf numFmtId="0" fontId="101" fillId="0" borderId="24" xfId="0" applyFont="1" applyBorder="1" applyAlignment="1">
      <alignment horizontal="left"/>
    </xf>
    <xf numFmtId="0" fontId="37" fillId="0" borderId="24" xfId="0" applyFont="1" applyBorder="1"/>
    <xf numFmtId="0" fontId="16" fillId="0" borderId="24" xfId="0" applyFont="1" applyBorder="1" applyAlignment="1">
      <alignment vertical="center"/>
    </xf>
    <xf numFmtId="0" fontId="9" fillId="0" borderId="24" xfId="0" applyFont="1" applyBorder="1" applyAlignment="1">
      <alignment vertical="center" wrapText="1"/>
    </xf>
    <xf numFmtId="0" fontId="1" fillId="0" borderId="24" xfId="0" applyFont="1" applyBorder="1" applyAlignment="1">
      <alignment horizontal="center"/>
    </xf>
    <xf numFmtId="0" fontId="1" fillId="0" borderId="24" xfId="0" applyFont="1" applyBorder="1"/>
    <xf numFmtId="0" fontId="3" fillId="0" borderId="24" xfId="0" applyFont="1" applyBorder="1" applyAlignment="1">
      <alignment horizontal="right"/>
    </xf>
    <xf numFmtId="0" fontId="99" fillId="0" borderId="24" xfId="0" applyFont="1" applyBorder="1" applyAlignment="1">
      <alignment horizontal="right"/>
    </xf>
    <xf numFmtId="0" fontId="73" fillId="0" borderId="24" xfId="0" applyFont="1" applyBorder="1"/>
    <xf numFmtId="0" fontId="1" fillId="0" borderId="40" xfId="0" applyFont="1" applyBorder="1" applyAlignment="1">
      <alignment vertical="center"/>
    </xf>
    <xf numFmtId="0" fontId="1" fillId="0" borderId="16" xfId="0" applyFont="1" applyBorder="1" applyAlignment="1">
      <alignment vertical="center"/>
    </xf>
    <xf numFmtId="0" fontId="120" fillId="0" borderId="16" xfId="0" applyFont="1" applyBorder="1" applyAlignment="1">
      <alignment horizontal="right" vertical="center"/>
    </xf>
    <xf numFmtId="0" fontId="120" fillId="0" borderId="127" xfId="0" applyFont="1" applyBorder="1" applyAlignment="1">
      <alignment vertical="center"/>
    </xf>
    <xf numFmtId="0" fontId="35" fillId="0" borderId="43" xfId="0" applyFont="1" applyBorder="1" applyAlignment="1">
      <alignment horizontal="center"/>
    </xf>
    <xf numFmtId="0" fontId="35" fillId="0" borderId="16" xfId="0" applyFont="1" applyBorder="1" applyAlignment="1">
      <alignment horizontal="center"/>
    </xf>
    <xf numFmtId="0" fontId="120" fillId="0" borderId="6" xfId="0" applyFont="1" applyBorder="1" applyAlignment="1">
      <alignment horizontal="right" vertical="center"/>
    </xf>
    <xf numFmtId="0" fontId="120" fillId="0" borderId="21" xfId="0" applyFont="1" applyBorder="1" applyAlignment="1">
      <alignment horizontal="left" vertical="center"/>
    </xf>
    <xf numFmtId="0" fontId="31" fillId="0" borderId="3" xfId="0" applyFont="1" applyBorder="1" applyAlignment="1">
      <alignment vertical="center"/>
    </xf>
    <xf numFmtId="0" fontId="5" fillId="0" borderId="3" xfId="0" applyFont="1" applyBorder="1" applyAlignment="1">
      <alignment vertical="center"/>
    </xf>
    <xf numFmtId="0" fontId="120" fillId="0" borderId="12" xfId="0" applyFont="1" applyBorder="1" applyAlignment="1">
      <alignment horizontal="right" vertical="center"/>
    </xf>
    <xf numFmtId="0" fontId="120" fillId="0" borderId="13" xfId="0" applyFont="1" applyBorder="1" applyAlignment="1">
      <alignment horizontal="left" vertical="center"/>
    </xf>
    <xf numFmtId="0" fontId="74" fillId="0" borderId="0" xfId="0" applyFont="1" applyAlignment="1">
      <alignment horizontal="left" vertical="center"/>
    </xf>
    <xf numFmtId="0" fontId="47" fillId="0" borderId="0" xfId="0" applyFont="1" applyAlignment="1">
      <alignment vertical="center"/>
    </xf>
    <xf numFmtId="0" fontId="5" fillId="0" borderId="0" xfId="0" applyFont="1" applyAlignment="1">
      <alignment vertical="center"/>
    </xf>
    <xf numFmtId="0" fontId="92" fillId="0" borderId="8" xfId="0" applyFont="1" applyBorder="1" applyAlignment="1">
      <alignment vertical="center"/>
    </xf>
    <xf numFmtId="0" fontId="73" fillId="0" borderId="8" xfId="0" applyFont="1" applyBorder="1" applyAlignment="1">
      <alignment vertical="center"/>
    </xf>
    <xf numFmtId="171" fontId="159" fillId="0" borderId="0" xfId="0" applyNumberFormat="1" applyFont="1" applyAlignment="1">
      <alignment horizontal="left" vertical="center"/>
    </xf>
    <xf numFmtId="0" fontId="321" fillId="0" borderId="0" xfId="0" applyFont="1" applyAlignment="1">
      <alignment horizontal="center"/>
    </xf>
    <xf numFmtId="0" fontId="35" fillId="0" borderId="0" xfId="0" applyFont="1" applyAlignment="1">
      <alignment horizontal="center"/>
    </xf>
    <xf numFmtId="0" fontId="73" fillId="22" borderId="0" xfId="0" applyFont="1" applyFill="1" applyAlignment="1">
      <alignment vertical="center"/>
    </xf>
    <xf numFmtId="0" fontId="273" fillId="0" borderId="24" xfId="0" applyFont="1" applyBorder="1" applyAlignment="1">
      <alignment vertical="center"/>
    </xf>
    <xf numFmtId="0" fontId="291" fillId="0" borderId="0" xfId="0" applyFont="1" applyAlignment="1">
      <alignment vertical="center"/>
    </xf>
    <xf numFmtId="0" fontId="273" fillId="0" borderId="0" xfId="0" applyFont="1" applyAlignment="1">
      <alignment horizontal="center"/>
    </xf>
    <xf numFmtId="0" fontId="260" fillId="19" borderId="45" xfId="0" applyFont="1" applyFill="1" applyBorder="1" applyAlignment="1">
      <alignment horizontal="center" vertical="center"/>
    </xf>
    <xf numFmtId="0" fontId="261" fillId="19" borderId="92" xfId="0" applyFont="1" applyFill="1" applyBorder="1" applyAlignment="1">
      <alignment horizontal="center" vertical="center"/>
    </xf>
    <xf numFmtId="0" fontId="11" fillId="0" borderId="0" xfId="0" applyFont="1" applyAlignment="1">
      <alignment horizontal="center"/>
    </xf>
    <xf numFmtId="0" fontId="48" fillId="0" borderId="0" xfId="0" applyFont="1" applyAlignment="1">
      <alignment vertical="center"/>
    </xf>
    <xf numFmtId="0" fontId="43" fillId="0" borderId="0" xfId="0" applyFont="1" applyAlignment="1">
      <alignment horizontal="left" vertical="center"/>
    </xf>
    <xf numFmtId="0" fontId="272" fillId="0" borderId="0" xfId="0" applyFont="1" applyAlignment="1">
      <alignment vertical="center"/>
    </xf>
    <xf numFmtId="0" fontId="261" fillId="19" borderId="22" xfId="0" applyFont="1" applyFill="1" applyBorder="1" applyAlignment="1">
      <alignment horizontal="center" vertical="center"/>
    </xf>
    <xf numFmtId="0" fontId="261" fillId="0" borderId="0" xfId="0" applyFont="1" applyAlignment="1">
      <alignment vertical="top"/>
    </xf>
    <xf numFmtId="0" fontId="296" fillId="0" borderId="0" xfId="0" applyFont="1" applyAlignment="1">
      <alignment vertical="top"/>
    </xf>
    <xf numFmtId="0" fontId="47" fillId="0" borderId="0" xfId="0" applyFont="1" applyAlignment="1">
      <alignment horizontal="right" vertical="center"/>
    </xf>
    <xf numFmtId="0" fontId="261" fillId="0" borderId="46" xfId="0" applyFont="1" applyBorder="1" applyAlignment="1">
      <alignment horizontal="right" vertical="center"/>
    </xf>
    <xf numFmtId="0" fontId="264" fillId="0" borderId="10" xfId="0" applyFont="1" applyBorder="1" applyAlignment="1">
      <alignment horizontal="center" vertical="center"/>
    </xf>
    <xf numFmtId="0" fontId="264" fillId="0" borderId="31" xfId="0" applyFont="1" applyBorder="1" applyAlignment="1">
      <alignment horizontal="center" vertical="center"/>
    </xf>
    <xf numFmtId="178" fontId="271" fillId="0" borderId="4" xfId="0" applyNumberFormat="1" applyFont="1" applyBorder="1" applyAlignment="1">
      <alignment horizontal="center" vertical="center"/>
    </xf>
    <xf numFmtId="0" fontId="273" fillId="0" borderId="0" xfId="0" applyFont="1" applyAlignment="1">
      <alignment vertical="center"/>
    </xf>
    <xf numFmtId="0" fontId="261" fillId="0" borderId="29" xfId="0" applyFont="1" applyBorder="1" applyAlignment="1">
      <alignment horizontal="right" vertical="center" wrapText="1"/>
    </xf>
    <xf numFmtId="0" fontId="264" fillId="0" borderId="26" xfId="0" applyFont="1" applyBorder="1" applyAlignment="1">
      <alignment horizontal="center" vertical="center"/>
    </xf>
    <xf numFmtId="0" fontId="272" fillId="0" borderId="24" xfId="0" quotePrefix="1" applyFont="1" applyBorder="1" applyAlignment="1">
      <alignment vertical="center"/>
    </xf>
    <xf numFmtId="0" fontId="272" fillId="0" borderId="24" xfId="0" applyFont="1" applyBorder="1" applyAlignment="1">
      <alignment vertical="center"/>
    </xf>
    <xf numFmtId="0" fontId="272" fillId="0" borderId="37" xfId="0" applyFont="1" applyBorder="1" applyAlignment="1">
      <alignment vertical="center"/>
    </xf>
    <xf numFmtId="0" fontId="258" fillId="0" borderId="0" xfId="0" applyFont="1" applyAlignment="1">
      <alignment horizontal="left" vertical="center"/>
    </xf>
    <xf numFmtId="0" fontId="13" fillId="0" borderId="0" xfId="0" applyFont="1" applyAlignment="1">
      <alignment horizontal="left" vertical="center"/>
    </xf>
    <xf numFmtId="0" fontId="261" fillId="0" borderId="24" xfId="0" applyFont="1" applyBorder="1" applyAlignment="1">
      <alignment horizontal="right" vertical="center"/>
    </xf>
    <xf numFmtId="1" fontId="265" fillId="0" borderId="9" xfId="0" applyNumberFormat="1" applyFont="1" applyBorder="1" applyAlignment="1">
      <alignment horizontal="center" vertical="center"/>
    </xf>
    <xf numFmtId="164" fontId="271" fillId="0" borderId="23" xfId="0" applyNumberFormat="1" applyFont="1" applyBorder="1" applyAlignment="1">
      <alignment horizontal="center" vertical="center"/>
    </xf>
    <xf numFmtId="0" fontId="307" fillId="0" borderId="0" xfId="0" applyFont="1" applyAlignment="1">
      <alignment horizontal="left" vertical="center"/>
    </xf>
    <xf numFmtId="0" fontId="261" fillId="0" borderId="200" xfId="0" applyFont="1" applyBorder="1" applyAlignment="1">
      <alignment horizontal="center" vertical="center"/>
    </xf>
    <xf numFmtId="0" fontId="265" fillId="0" borderId="7" xfId="0" applyFont="1" applyBorder="1" applyAlignment="1">
      <alignment horizontal="center" vertical="center"/>
    </xf>
    <xf numFmtId="0" fontId="271" fillId="0" borderId="24" xfId="0" applyFont="1" applyBorder="1" applyAlignment="1">
      <alignment horizontal="center" vertical="center"/>
    </xf>
    <xf numFmtId="0" fontId="305" fillId="0" borderId="24" xfId="0" applyFont="1" applyBorder="1" applyAlignment="1">
      <alignment horizontal="center" vertical="center"/>
    </xf>
    <xf numFmtId="0" fontId="271" fillId="0" borderId="37" xfId="0" applyFont="1" applyBorder="1" applyAlignment="1">
      <alignment horizontal="center" vertical="center"/>
    </xf>
    <xf numFmtId="0" fontId="261" fillId="0" borderId="40" xfId="0" applyFont="1" applyBorder="1" applyAlignment="1">
      <alignment horizontal="right" vertical="center"/>
    </xf>
    <xf numFmtId="0" fontId="261" fillId="0" borderId="3" xfId="0" applyFont="1" applyBorder="1" applyAlignment="1">
      <alignment horizontal="right" vertical="center"/>
    </xf>
    <xf numFmtId="0" fontId="261" fillId="0" borderId="3" xfId="0" applyFont="1" applyBorder="1" applyAlignment="1">
      <alignment horizontal="center" vertical="center"/>
    </xf>
    <xf numFmtId="0" fontId="264" fillId="0" borderId="14" xfId="0" applyFont="1" applyBorder="1" applyAlignment="1">
      <alignment horizontal="center" vertical="center"/>
    </xf>
    <xf numFmtId="0" fontId="264" fillId="0" borderId="2" xfId="0" applyFont="1" applyBorder="1" applyAlignment="1">
      <alignment horizontal="center" vertical="center"/>
    </xf>
    <xf numFmtId="0" fontId="271" fillId="0" borderId="16" xfId="0" applyFont="1" applyBorder="1" applyAlignment="1">
      <alignment vertical="center"/>
    </xf>
    <xf numFmtId="0" fontId="271" fillId="0" borderId="18" xfId="0" applyFont="1" applyBorder="1" applyAlignment="1">
      <alignment horizontal="left" vertical="center"/>
    </xf>
    <xf numFmtId="0" fontId="271" fillId="24" borderId="19" xfId="0" applyFont="1" applyFill="1" applyBorder="1" applyAlignment="1">
      <alignment horizontal="right" vertical="center"/>
    </xf>
    <xf numFmtId="173" fontId="271" fillId="0" borderId="31" xfId="0" applyNumberFormat="1" applyFont="1" applyBorder="1" applyAlignment="1">
      <alignment horizontal="center" vertical="center"/>
    </xf>
    <xf numFmtId="0" fontId="271" fillId="24" borderId="0" xfId="0" applyFont="1" applyFill="1" applyAlignment="1">
      <alignment vertical="center"/>
    </xf>
    <xf numFmtId="0" fontId="271" fillId="24" borderId="3" xfId="0" applyFont="1" applyFill="1" applyBorder="1" applyAlignment="1">
      <alignment vertical="center"/>
    </xf>
    <xf numFmtId="0" fontId="271" fillId="0" borderId="4" xfId="0" applyFont="1" applyBorder="1" applyAlignment="1">
      <alignment vertical="center"/>
    </xf>
    <xf numFmtId="0" fontId="261" fillId="0" borderId="54" xfId="0" applyFont="1" applyBorder="1" applyAlignment="1">
      <alignment horizontal="right" vertical="center"/>
    </xf>
    <xf numFmtId="0" fontId="261" fillId="0" borderId="5" xfId="0" applyFont="1" applyBorder="1" applyAlignment="1">
      <alignment horizontal="right" vertical="center"/>
    </xf>
    <xf numFmtId="0" fontId="261" fillId="0" borderId="5" xfId="0" applyFont="1" applyBorder="1" applyAlignment="1">
      <alignment horizontal="center" vertical="center"/>
    </xf>
    <xf numFmtId="0" fontId="261" fillId="0" borderId="2" xfId="0" applyFont="1" applyBorder="1" applyAlignment="1">
      <alignment horizontal="right" vertical="center"/>
    </xf>
    <xf numFmtId="0" fontId="271" fillId="0" borderId="5" xfId="0" applyFont="1" applyBorder="1" applyAlignment="1">
      <alignment vertical="center"/>
    </xf>
    <xf numFmtId="0" fontId="271" fillId="0" borderId="13" xfId="0" applyFont="1" applyBorder="1" applyAlignment="1">
      <alignment horizontal="left" vertical="center"/>
    </xf>
    <xf numFmtId="0" fontId="264" fillId="0" borderId="12" xfId="0" applyFont="1" applyBorder="1" applyAlignment="1">
      <alignment horizontal="right" vertical="center"/>
    </xf>
    <xf numFmtId="165" fontId="264" fillId="24" borderId="1" xfId="0" applyNumberFormat="1" applyFont="1" applyFill="1" applyBorder="1" applyAlignment="1">
      <alignment horizontal="center" vertical="center"/>
    </xf>
    <xf numFmtId="0" fontId="264" fillId="0" borderId="1" xfId="0" applyFont="1" applyBorder="1" applyAlignment="1">
      <alignment horizontal="center" vertical="center"/>
    </xf>
    <xf numFmtId="0" fontId="264" fillId="0" borderId="13" xfId="0" applyFont="1" applyBorder="1" applyAlignment="1">
      <alignment vertical="center"/>
    </xf>
    <xf numFmtId="0" fontId="261" fillId="0" borderId="7" xfId="0" applyFont="1" applyBorder="1" applyAlignment="1">
      <alignment horizontal="right" vertical="center"/>
    </xf>
    <xf numFmtId="0" fontId="265" fillId="0" borderId="9" xfId="0" applyFont="1" applyBorder="1" applyAlignment="1">
      <alignment horizontal="center" vertical="center"/>
    </xf>
    <xf numFmtId="0" fontId="264" fillId="0" borderId="7" xfId="0" applyFont="1" applyBorder="1" applyAlignment="1">
      <alignment horizontal="center" vertical="center"/>
    </xf>
    <xf numFmtId="0" fontId="271" fillId="0" borderId="8" xfId="0" applyFont="1" applyBorder="1" applyAlignment="1">
      <alignment horizontal="left" vertical="center"/>
    </xf>
    <xf numFmtId="0" fontId="271" fillId="0" borderId="23" xfId="0" applyFont="1" applyBorder="1" applyAlignment="1">
      <alignment horizontal="left" vertical="center"/>
    </xf>
    <xf numFmtId="0" fontId="308" fillId="0" borderId="0" xfId="0" applyFont="1" applyAlignment="1">
      <alignment vertical="center"/>
    </xf>
    <xf numFmtId="0" fontId="264" fillId="0" borderId="11" xfId="0" applyFont="1" applyBorder="1" applyAlignment="1">
      <alignment horizontal="right" vertical="center"/>
    </xf>
    <xf numFmtId="0" fontId="264" fillId="24" borderId="9" xfId="0" applyFont="1" applyFill="1" applyBorder="1" applyAlignment="1">
      <alignment horizontal="right" vertical="center"/>
    </xf>
    <xf numFmtId="173" fontId="264" fillId="24" borderId="8" xfId="0" applyNumberFormat="1" applyFont="1" applyFill="1" applyBorder="1" applyAlignment="1">
      <alignment horizontal="left" vertical="center"/>
    </xf>
    <xf numFmtId="173" fontId="264" fillId="0" borderId="23" xfId="0" applyNumberFormat="1" applyFont="1" applyBorder="1" applyAlignment="1">
      <alignment horizontal="left" vertical="center"/>
    </xf>
    <xf numFmtId="0" fontId="261" fillId="0" borderId="19" xfId="0" applyFont="1" applyBorder="1" applyAlignment="1">
      <alignment horizontal="right" vertical="center"/>
    </xf>
    <xf numFmtId="0" fontId="264" fillId="0" borderId="21" xfId="0" applyFont="1" applyBorder="1" applyAlignment="1">
      <alignment horizontal="center" vertical="center"/>
    </xf>
    <xf numFmtId="0" fontId="271" fillId="0" borderId="3" xfId="0" applyFont="1" applyBorder="1" applyAlignment="1">
      <alignment horizontal="left" vertical="center"/>
    </xf>
    <xf numFmtId="0" fontId="271" fillId="0" borderId="4" xfId="0" applyFont="1" applyBorder="1" applyAlignment="1">
      <alignment horizontal="left" vertical="center"/>
    </xf>
    <xf numFmtId="0" fontId="264" fillId="0" borderId="40" xfId="0" applyFont="1" applyBorder="1" applyAlignment="1">
      <alignment horizontal="right" vertical="center" wrapText="1"/>
    </xf>
    <xf numFmtId="0" fontId="264" fillId="0" borderId="3" xfId="0" applyFont="1" applyBorder="1" applyAlignment="1">
      <alignment horizontal="right" vertical="center"/>
    </xf>
    <xf numFmtId="0" fontId="264" fillId="0" borderId="19" xfId="0" applyFont="1" applyBorder="1" applyAlignment="1">
      <alignment horizontal="right" vertical="center" wrapText="1"/>
    </xf>
    <xf numFmtId="0" fontId="273" fillId="0" borderId="129" xfId="0" applyFont="1" applyBorder="1" applyAlignment="1">
      <alignment vertical="center"/>
    </xf>
    <xf numFmtId="0" fontId="261" fillId="0" borderId="45" xfId="0" applyFont="1" applyBorder="1" applyAlignment="1">
      <alignment vertical="center" wrapText="1"/>
    </xf>
    <xf numFmtId="0" fontId="261" fillId="0" borderId="28" xfId="0" applyFont="1" applyBorder="1" applyAlignment="1">
      <alignment vertical="center" wrapText="1"/>
    </xf>
    <xf numFmtId="0" fontId="261" fillId="0" borderId="42" xfId="0" applyFont="1" applyBorder="1" applyAlignment="1">
      <alignment horizontal="right" vertical="center"/>
    </xf>
    <xf numFmtId="0" fontId="261" fillId="0" borderId="8" xfId="0" applyFont="1" applyBorder="1" applyAlignment="1">
      <alignment horizontal="right" vertical="center"/>
    </xf>
    <xf numFmtId="0" fontId="261" fillId="0" borderId="8" xfId="0" applyFont="1" applyBorder="1" applyAlignment="1">
      <alignment horizontal="center" vertical="center"/>
    </xf>
    <xf numFmtId="0" fontId="261" fillId="0" borderId="8" xfId="0" applyFont="1" applyBorder="1" applyAlignment="1">
      <alignment horizontal="left" vertical="center"/>
    </xf>
    <xf numFmtId="0" fontId="261" fillId="0" borderId="12" xfId="0" applyFont="1" applyBorder="1" applyAlignment="1">
      <alignment horizontal="right" vertical="center"/>
    </xf>
    <xf numFmtId="0" fontId="264" fillId="0" borderId="54" xfId="0" applyFont="1" applyBorder="1" applyAlignment="1">
      <alignment horizontal="right" vertical="center" wrapText="1"/>
    </xf>
    <xf numFmtId="0" fontId="264" fillId="0" borderId="5" xfId="0" applyFont="1" applyBorder="1" applyAlignment="1">
      <alignment horizontal="right" vertical="center"/>
    </xf>
    <xf numFmtId="0" fontId="264" fillId="0" borderId="12" xfId="0" applyFont="1" applyBorder="1" applyAlignment="1">
      <alignment horizontal="right" vertical="center" wrapText="1"/>
    </xf>
    <xf numFmtId="0" fontId="264" fillId="0" borderId="48" xfId="0" applyFont="1" applyBorder="1" applyAlignment="1">
      <alignment horizontal="left" vertical="center"/>
    </xf>
    <xf numFmtId="0" fontId="261" fillId="0" borderId="0" xfId="0" applyFont="1" applyAlignment="1">
      <alignment vertical="center" wrapText="1"/>
    </xf>
    <xf numFmtId="0" fontId="48" fillId="0" borderId="0" xfId="0" applyFont="1" applyAlignment="1">
      <alignment horizontal="left" vertical="center"/>
    </xf>
    <xf numFmtId="0" fontId="261" fillId="0" borderId="11" xfId="0" applyFont="1" applyBorder="1" applyAlignment="1">
      <alignment horizontal="right" vertical="center"/>
    </xf>
    <xf numFmtId="0" fontId="264" fillId="0" borderId="8" xfId="0" applyFont="1" applyBorder="1" applyAlignment="1">
      <alignment vertical="center"/>
    </xf>
    <xf numFmtId="0" fontId="264" fillId="0" borderId="54" xfId="0" applyFont="1" applyBorder="1" applyAlignment="1">
      <alignment horizontal="right" vertical="center"/>
    </xf>
    <xf numFmtId="0" fontId="71" fillId="24" borderId="0" xfId="0" applyFont="1" applyFill="1" applyAlignment="1">
      <alignment vertical="center"/>
    </xf>
    <xf numFmtId="0" fontId="258" fillId="0" borderId="0" xfId="0" applyFont="1" applyAlignment="1">
      <alignment vertical="center"/>
    </xf>
    <xf numFmtId="0" fontId="272" fillId="0" borderId="0" xfId="0" applyFont="1" applyAlignment="1">
      <alignment horizontal="left" vertical="center"/>
    </xf>
    <xf numFmtId="0" fontId="264" fillId="0" borderId="137" xfId="0" applyFont="1" applyBorder="1" applyAlignment="1">
      <alignment horizontal="right" vertical="center"/>
    </xf>
    <xf numFmtId="0" fontId="264" fillId="0" borderId="47" xfId="0" applyFont="1" applyBorder="1" applyAlignment="1">
      <alignment horizontal="center" vertical="center"/>
    </xf>
    <xf numFmtId="0" fontId="261" fillId="0" borderId="48" xfId="0" applyFont="1" applyBorder="1" applyAlignment="1">
      <alignment horizontal="right" vertical="center"/>
    </xf>
    <xf numFmtId="0" fontId="261" fillId="0" borderId="0" xfId="0" applyFont="1" applyAlignment="1">
      <alignment horizontal="left" vertical="center"/>
    </xf>
    <xf numFmtId="0" fontId="261" fillId="0" borderId="28" xfId="0" applyFont="1" applyBorder="1" applyAlignment="1">
      <alignment horizontal="left" vertical="center"/>
    </xf>
    <xf numFmtId="0" fontId="71" fillId="0" borderId="0" xfId="0" applyFont="1" applyAlignment="1">
      <alignment vertical="center"/>
    </xf>
    <xf numFmtId="0" fontId="261" fillId="0" borderId="3" xfId="0" applyFont="1" applyBorder="1" applyAlignment="1">
      <alignment vertical="center"/>
    </xf>
    <xf numFmtId="0" fontId="264" fillId="0" borderId="6" xfId="0" applyFont="1" applyBorder="1" applyAlignment="1">
      <alignment horizontal="right" vertical="center"/>
    </xf>
    <xf numFmtId="0" fontId="273" fillId="0" borderId="48" xfId="0" applyFont="1" applyBorder="1" applyAlignment="1">
      <alignment vertical="center"/>
    </xf>
    <xf numFmtId="0" fontId="261" fillId="0" borderId="5" xfId="0" applyFont="1" applyBorder="1" applyAlignment="1">
      <alignment vertical="center"/>
    </xf>
    <xf numFmtId="0" fontId="265" fillId="0" borderId="26" xfId="0" applyFont="1" applyBorder="1" applyAlignment="1">
      <alignment horizontal="center" vertical="center"/>
    </xf>
    <xf numFmtId="0" fontId="264" fillId="0" borderId="27" xfId="0" applyFont="1" applyBorder="1" applyAlignment="1">
      <alignment horizontal="left" vertical="center"/>
    </xf>
    <xf numFmtId="0" fontId="261" fillId="0" borderId="24" xfId="0" applyFont="1" applyBorder="1" applyAlignment="1">
      <alignment vertical="center" wrapText="1"/>
    </xf>
    <xf numFmtId="0" fontId="261" fillId="0" borderId="22" xfId="0" applyFont="1" applyBorder="1" applyAlignment="1">
      <alignment vertical="center" wrapText="1"/>
    </xf>
    <xf numFmtId="0" fontId="261" fillId="0" borderId="25" xfId="0" applyFont="1" applyBorder="1" applyAlignment="1">
      <alignment horizontal="right" vertical="center"/>
    </xf>
    <xf numFmtId="0" fontId="264" fillId="0" borderId="27" xfId="0" applyFont="1" applyBorder="1" applyAlignment="1">
      <alignment horizontal="center" vertical="center"/>
    </xf>
    <xf numFmtId="0" fontId="261" fillId="0" borderId="22" xfId="0" applyFont="1" applyBorder="1" applyAlignment="1">
      <alignment horizontal="left" vertical="center"/>
    </xf>
    <xf numFmtId="0" fontId="261" fillId="0" borderId="41" xfId="0" applyFont="1" applyBorder="1" applyAlignment="1">
      <alignment horizontal="center" vertical="center"/>
    </xf>
    <xf numFmtId="0" fontId="261" fillId="0" borderId="17" xfId="0" applyFont="1" applyBorder="1" applyAlignment="1">
      <alignment horizontal="center" vertical="center"/>
    </xf>
    <xf numFmtId="0" fontId="264" fillId="0" borderId="20" xfId="0" applyFont="1" applyBorder="1" applyAlignment="1">
      <alignment horizontal="center" vertical="center"/>
    </xf>
    <xf numFmtId="0" fontId="304" fillId="0" borderId="17" xfId="0" applyFont="1" applyBorder="1" applyAlignment="1">
      <alignment vertical="center"/>
    </xf>
    <xf numFmtId="0" fontId="304" fillId="0" borderId="37" xfId="0" applyFont="1" applyBorder="1" applyAlignment="1">
      <alignment vertical="center"/>
    </xf>
    <xf numFmtId="0" fontId="278" fillId="0" borderId="31" xfId="0" applyFont="1" applyBorder="1" applyAlignment="1">
      <alignment horizontal="right" vertical="center"/>
    </xf>
    <xf numFmtId="0" fontId="278" fillId="0" borderId="3" xfId="0" applyFont="1" applyBorder="1" applyAlignment="1">
      <alignment vertical="center"/>
    </xf>
    <xf numFmtId="0" fontId="264" fillId="0" borderId="4" xfId="0" applyFont="1" applyBorder="1" applyAlignment="1">
      <alignment horizontal="left" vertical="center"/>
    </xf>
    <xf numFmtId="0" fontId="308" fillId="0" borderId="0" xfId="0" applyFont="1" applyAlignment="1">
      <alignment vertical="center" wrapText="1"/>
    </xf>
    <xf numFmtId="0" fontId="278" fillId="0" borderId="44" xfId="0" applyFont="1" applyBorder="1" applyAlignment="1">
      <alignment horizontal="left" vertical="center"/>
    </xf>
    <xf numFmtId="0" fontId="264" fillId="0" borderId="24" xfId="0" applyFont="1" applyBorder="1" applyAlignment="1">
      <alignment horizontal="right" vertical="center" wrapText="1"/>
    </xf>
    <xf numFmtId="0" fontId="304" fillId="0" borderId="24" xfId="0" applyFont="1" applyBorder="1" applyAlignment="1">
      <alignment vertical="center"/>
    </xf>
    <xf numFmtId="0" fontId="307" fillId="0" borderId="0" xfId="0" applyFont="1" applyAlignment="1">
      <alignment vertical="center" wrapText="1"/>
    </xf>
    <xf numFmtId="0" fontId="265" fillId="0" borderId="20" xfId="0" applyFont="1" applyBorder="1" applyAlignment="1">
      <alignment horizontal="center" vertical="center"/>
    </xf>
    <xf numFmtId="0" fontId="265" fillId="0" borderId="15" xfId="0" applyFont="1" applyBorder="1" applyAlignment="1">
      <alignment vertical="center"/>
    </xf>
    <xf numFmtId="0" fontId="306" fillId="0" borderId="17" xfId="0" applyFont="1" applyBorder="1" applyAlignment="1">
      <alignment vertical="center"/>
    </xf>
    <xf numFmtId="0" fontId="306" fillId="0" borderId="37" xfId="0" applyFont="1" applyBorder="1" applyAlignment="1">
      <alignment vertical="center"/>
    </xf>
    <xf numFmtId="0" fontId="269" fillId="0" borderId="3" xfId="0" applyFont="1" applyBorder="1" applyAlignment="1">
      <alignment horizontal="right" vertical="center"/>
    </xf>
    <xf numFmtId="0" fontId="304" fillId="0" borderId="3" xfId="0" applyFont="1" applyBorder="1" applyAlignment="1">
      <alignment horizontal="left" vertical="center"/>
    </xf>
    <xf numFmtId="0" fontId="304" fillId="0" borderId="93" xfId="0" applyFont="1" applyBorder="1" applyAlignment="1">
      <alignment horizontal="left" vertical="center"/>
    </xf>
    <xf numFmtId="0" fontId="292" fillId="0" borderId="45" xfId="0" applyFont="1" applyBorder="1" applyAlignment="1">
      <alignment horizontal="left"/>
    </xf>
    <xf numFmtId="0" fontId="292" fillId="0" borderId="45" xfId="0" applyFont="1" applyBorder="1" applyAlignment="1">
      <alignment horizontal="left" vertical="center"/>
    </xf>
    <xf numFmtId="0" fontId="292" fillId="0" borderId="92" xfId="0" applyFont="1" applyBorder="1" applyAlignment="1">
      <alignment horizontal="left" vertical="center"/>
    </xf>
    <xf numFmtId="0" fontId="258" fillId="0" borderId="46" xfId="0" applyFont="1" applyBorder="1" applyAlignment="1">
      <alignment horizontal="right" vertical="center"/>
    </xf>
    <xf numFmtId="0" fontId="304" fillId="0" borderId="0" xfId="0" applyFont="1" applyAlignment="1">
      <alignment horizontal="left" vertical="center"/>
    </xf>
    <xf numFmtId="0" fontId="292" fillId="0" borderId="0" xfId="0" applyFont="1" applyAlignment="1">
      <alignment horizontal="left" vertical="top"/>
    </xf>
    <xf numFmtId="0" fontId="292" fillId="0" borderId="0" xfId="0" applyFont="1" applyAlignment="1">
      <alignment horizontal="left" vertical="center"/>
    </xf>
    <xf numFmtId="0" fontId="292" fillId="0" borderId="28" xfId="0" applyFont="1" applyBorder="1" applyAlignment="1">
      <alignment horizontal="left" vertical="center"/>
    </xf>
    <xf numFmtId="0" fontId="261" fillId="0" borderId="8" xfId="0" applyFont="1" applyBorder="1" applyAlignment="1">
      <alignment vertical="center"/>
    </xf>
    <xf numFmtId="0" fontId="261" fillId="0" borderId="29" xfId="0" applyFont="1" applyBorder="1" applyAlignment="1">
      <alignment horizontal="right" vertical="center"/>
    </xf>
    <xf numFmtId="165" fontId="264" fillId="0" borderId="20" xfId="0" applyNumberFormat="1" applyFont="1" applyBorder="1" applyAlignment="1">
      <alignment horizontal="center" vertical="center"/>
    </xf>
    <xf numFmtId="0" fontId="261" fillId="0" borderId="37" xfId="0" applyFont="1" applyBorder="1" applyAlignment="1">
      <alignment horizontal="left" vertical="center"/>
    </xf>
    <xf numFmtId="0" fontId="293" fillId="0" borderId="0" xfId="0" applyFont="1" applyAlignment="1">
      <alignment horizontal="center" vertical="top"/>
    </xf>
    <xf numFmtId="0" fontId="294" fillId="0" borderId="0" xfId="0" applyFont="1" applyAlignment="1">
      <alignment vertical="center"/>
    </xf>
    <xf numFmtId="0" fontId="295" fillId="0" borderId="0" xfId="0" applyFont="1" applyAlignment="1">
      <alignment vertical="center"/>
    </xf>
    <xf numFmtId="0" fontId="295" fillId="0" borderId="28" xfId="0" applyFont="1" applyBorder="1" applyAlignment="1">
      <alignment vertical="center"/>
    </xf>
    <xf numFmtId="0" fontId="273" fillId="0" borderId="18" xfId="0" applyFont="1" applyBorder="1" applyAlignment="1">
      <alignment vertical="center"/>
    </xf>
    <xf numFmtId="0" fontId="292" fillId="0" borderId="24" xfId="0" applyFont="1" applyBorder="1" applyAlignment="1">
      <alignment vertical="center"/>
    </xf>
    <xf numFmtId="0" fontId="294" fillId="0" borderId="24" xfId="0" applyFont="1" applyBorder="1" applyAlignment="1">
      <alignment vertical="center"/>
    </xf>
    <xf numFmtId="0" fontId="295" fillId="0" borderId="24" xfId="0" applyFont="1" applyBorder="1" applyAlignment="1">
      <alignment vertical="center"/>
    </xf>
    <xf numFmtId="0" fontId="295" fillId="0" borderId="22" xfId="0" applyFont="1" applyBorder="1" applyAlignment="1">
      <alignment vertical="center"/>
    </xf>
    <xf numFmtId="0" fontId="97" fillId="0" borderId="0" xfId="0" applyFont="1" applyAlignment="1">
      <alignment vertical="center"/>
    </xf>
    <xf numFmtId="0" fontId="260" fillId="0" borderId="25" xfId="0" applyFont="1" applyBorder="1" applyAlignment="1">
      <alignment horizontal="center" vertical="center"/>
    </xf>
    <xf numFmtId="0" fontId="303" fillId="0" borderId="25" xfId="0" applyFont="1" applyBorder="1" applyAlignment="1">
      <alignment horizontal="right" vertical="center"/>
    </xf>
    <xf numFmtId="166" fontId="264" fillId="0" borderId="8" xfId="0" applyNumberFormat="1" applyFont="1" applyBorder="1" applyAlignment="1">
      <alignment horizontal="center" vertical="center"/>
    </xf>
    <xf numFmtId="0" fontId="264" fillId="0" borderId="23" xfId="0" applyFont="1" applyBorder="1" applyAlignment="1">
      <alignment horizontal="left" vertical="center"/>
    </xf>
    <xf numFmtId="0" fontId="265" fillId="0" borderId="46" xfId="0" applyFont="1" applyBorder="1" applyAlignment="1">
      <alignment horizontal="right" vertical="center"/>
    </xf>
    <xf numFmtId="0" fontId="264" fillId="0" borderId="16" xfId="0" applyFont="1" applyBorder="1" applyAlignment="1">
      <alignment vertical="center"/>
    </xf>
    <xf numFmtId="0" fontId="272" fillId="0" borderId="16" xfId="0" applyFont="1" applyBorder="1" applyAlignment="1">
      <alignment vertical="center"/>
    </xf>
    <xf numFmtId="0" fontId="272" fillId="0" borderId="18" xfId="0" applyFont="1" applyBorder="1" applyAlignment="1">
      <alignment vertical="center"/>
    </xf>
    <xf numFmtId="0" fontId="5" fillId="0" borderId="0" xfId="0" applyFont="1" applyAlignment="1">
      <alignment horizontal="left" vertical="center"/>
    </xf>
    <xf numFmtId="0" fontId="264" fillId="0" borderId="19" xfId="0" applyFont="1" applyBorder="1" applyAlignment="1">
      <alignment horizontal="right" vertical="center"/>
    </xf>
    <xf numFmtId="0" fontId="264" fillId="0" borderId="3" xfId="0" applyFont="1" applyBorder="1" applyAlignment="1">
      <alignment horizontal="center" vertical="center"/>
    </xf>
    <xf numFmtId="0" fontId="261" fillId="0" borderId="0" xfId="0" applyFont="1" applyAlignment="1">
      <alignment vertical="center"/>
    </xf>
    <xf numFmtId="0" fontId="265" fillId="0" borderId="24" xfId="0" applyFont="1" applyBorder="1" applyAlignment="1">
      <alignment horizontal="right" vertical="center"/>
    </xf>
    <xf numFmtId="0" fontId="264" fillId="0" borderId="24" xfId="0" applyFont="1" applyBorder="1" applyAlignment="1">
      <alignment vertical="center"/>
    </xf>
    <xf numFmtId="0" fontId="272" fillId="0" borderId="23" xfId="0" applyFont="1" applyBorder="1" applyAlignment="1">
      <alignment vertical="center"/>
    </xf>
    <xf numFmtId="0" fontId="261" fillId="0" borderId="3" xfId="0" applyFont="1" applyBorder="1"/>
    <xf numFmtId="0" fontId="302" fillId="0" borderId="14" xfId="0" applyFont="1" applyBorder="1" applyAlignment="1">
      <alignment horizontal="right" vertical="center"/>
    </xf>
    <xf numFmtId="171" fontId="264" fillId="0" borderId="18" xfId="0" applyNumberFormat="1" applyFont="1" applyBorder="1" applyAlignment="1">
      <alignment horizontal="left" vertical="center"/>
    </xf>
    <xf numFmtId="0" fontId="264" fillId="0" borderId="0" xfId="0" applyFont="1" applyAlignment="1">
      <alignment vertical="center"/>
    </xf>
    <xf numFmtId="0" fontId="261" fillId="0" borderId="5" xfId="0" applyFont="1" applyBorder="1"/>
    <xf numFmtId="0" fontId="261" fillId="0" borderId="25" xfId="0" applyFont="1" applyBorder="1" applyAlignment="1">
      <alignment horizontal="center" vertical="center"/>
    </xf>
    <xf numFmtId="171" fontId="264" fillId="0" borderId="23" xfId="0" applyNumberFormat="1" applyFont="1" applyBorder="1" applyAlignment="1">
      <alignment horizontal="left" vertical="center"/>
    </xf>
    <xf numFmtId="0" fontId="269" fillId="0" borderId="0" xfId="0" applyFont="1" applyAlignment="1">
      <alignment vertical="center"/>
    </xf>
    <xf numFmtId="0" fontId="292" fillId="0" borderId="129" xfId="0" applyFont="1" applyBorder="1" applyAlignment="1">
      <alignment horizontal="left" vertical="center"/>
    </xf>
    <xf numFmtId="0" fontId="271" fillId="0" borderId="0" xfId="0" applyFont="1" applyAlignment="1">
      <alignment vertical="center"/>
    </xf>
    <xf numFmtId="0" fontId="278" fillId="0" borderId="0" xfId="0" applyFont="1" applyAlignment="1">
      <alignment horizontal="left" vertical="center"/>
    </xf>
    <xf numFmtId="0" fontId="287" fillId="0" borderId="0" xfId="0" applyFont="1" applyAlignment="1">
      <alignment vertical="center"/>
    </xf>
    <xf numFmtId="0" fontId="293" fillId="0" borderId="24" xfId="0" applyFont="1" applyBorder="1" applyAlignment="1">
      <alignment vertical="center"/>
    </xf>
    <xf numFmtId="0" fontId="294" fillId="0" borderId="22" xfId="0" applyFont="1" applyBorder="1" applyAlignment="1">
      <alignment vertical="center"/>
    </xf>
    <xf numFmtId="0" fontId="264" fillId="0" borderId="0" xfId="0" applyFont="1" applyAlignment="1">
      <alignment vertical="center" wrapText="1"/>
    </xf>
    <xf numFmtId="0" fontId="261" fillId="0" borderId="8" xfId="0" applyFont="1" applyBorder="1"/>
    <xf numFmtId="0" fontId="261" fillId="0" borderId="22" xfId="0" applyFont="1" applyBorder="1" applyAlignment="1">
      <alignment vertical="center"/>
    </xf>
    <xf numFmtId="0" fontId="48" fillId="0" borderId="45" xfId="0" applyFont="1" applyBorder="1" applyAlignment="1">
      <alignment vertical="center"/>
    </xf>
    <xf numFmtId="0" fontId="48" fillId="0" borderId="45" xfId="0" applyFont="1" applyBorder="1" applyAlignment="1">
      <alignment horizontal="left" vertical="center"/>
    </xf>
    <xf numFmtId="0" fontId="75" fillId="0" borderId="0" xfId="0" applyFont="1"/>
    <xf numFmtId="0" fontId="74" fillId="0" borderId="0" xfId="0" applyFont="1"/>
    <xf numFmtId="0" fontId="273" fillId="0" borderId="40" xfId="0" applyFont="1" applyBorder="1" applyAlignment="1">
      <alignment vertical="center"/>
    </xf>
    <xf numFmtId="0" fontId="253" fillId="0" borderId="0" xfId="0" applyFont="1" applyAlignment="1">
      <alignment horizontal="right" vertical="center"/>
    </xf>
    <xf numFmtId="0" fontId="120" fillId="0" borderId="0" xfId="0" applyFont="1" applyAlignment="1">
      <alignment horizontal="left" vertical="center"/>
    </xf>
    <xf numFmtId="0" fontId="252" fillId="0" borderId="0" xfId="0" applyFont="1" applyAlignment="1">
      <alignment vertical="center"/>
    </xf>
    <xf numFmtId="0" fontId="3" fillId="0" borderId="57" xfId="0" applyFont="1" applyBorder="1" applyAlignment="1">
      <alignment horizontal="right" vertical="center"/>
    </xf>
    <xf numFmtId="0" fontId="26" fillId="0" borderId="57" xfId="0" applyFont="1" applyBorder="1" applyAlignment="1">
      <alignment horizontal="center" vertical="center"/>
    </xf>
    <xf numFmtId="0" fontId="8" fillId="0" borderId="57" xfId="0" applyFont="1" applyBorder="1" applyAlignment="1">
      <alignment horizontal="left" vertical="center"/>
    </xf>
    <xf numFmtId="0" fontId="259" fillId="0" borderId="0" xfId="0" applyFont="1" applyAlignment="1">
      <alignment horizontal="center" vertical="center" wrapText="1"/>
    </xf>
    <xf numFmtId="0" fontId="260" fillId="19" borderId="29" xfId="0" applyFont="1" applyFill="1" applyBorder="1" applyAlignment="1">
      <alignment horizontal="center" vertical="center"/>
    </xf>
    <xf numFmtId="0" fontId="260" fillId="19" borderId="20" xfId="0" applyFont="1" applyFill="1" applyBorder="1" applyAlignment="1">
      <alignment horizontal="center" vertical="center"/>
    </xf>
    <xf numFmtId="0" fontId="260" fillId="19" borderId="37" xfId="0" applyFont="1" applyFill="1" applyBorder="1" applyAlignment="1">
      <alignment horizontal="center" vertical="center"/>
    </xf>
    <xf numFmtId="0" fontId="260" fillId="19" borderId="129" xfId="0" applyFont="1" applyFill="1" applyBorder="1" applyAlignment="1">
      <alignment horizontal="center" vertical="center"/>
    </xf>
    <xf numFmtId="0" fontId="262" fillId="0" borderId="25" xfId="0" applyFont="1" applyBorder="1" applyAlignment="1">
      <alignment horizontal="right" vertical="top"/>
    </xf>
    <xf numFmtId="0" fontId="260" fillId="0" borderId="26" xfId="0" applyFont="1" applyBorder="1" applyAlignment="1">
      <alignment horizontal="center" vertical="center"/>
    </xf>
    <xf numFmtId="173" fontId="261" fillId="0" borderId="19" xfId="0" applyNumberFormat="1" applyFont="1" applyBorder="1" applyAlignment="1">
      <alignment horizontal="center" vertical="center"/>
    </xf>
    <xf numFmtId="0" fontId="271" fillId="0" borderId="21" xfId="0" applyFont="1" applyBorder="1" applyAlignment="1">
      <alignment horizontal="left" vertical="center"/>
    </xf>
    <xf numFmtId="0" fontId="297" fillId="25" borderId="8" xfId="0" applyFont="1" applyFill="1" applyBorder="1" applyAlignment="1">
      <alignment vertical="center"/>
    </xf>
    <xf numFmtId="0" fontId="42" fillId="0" borderId="0" xfId="0" applyFont="1" applyAlignment="1">
      <alignment horizontal="right" vertical="center"/>
    </xf>
    <xf numFmtId="0" fontId="261" fillId="0" borderId="31" xfId="0" applyFont="1" applyBorder="1" applyAlignment="1">
      <alignment horizontal="center" vertical="center"/>
    </xf>
    <xf numFmtId="0" fontId="264" fillId="0" borderId="21" xfId="0" applyFont="1" applyBorder="1" applyAlignment="1">
      <alignment horizontal="left" vertical="center"/>
    </xf>
    <xf numFmtId="0" fontId="261" fillId="0" borderId="4" xfId="0" applyFont="1" applyBorder="1" applyAlignment="1">
      <alignment horizontal="left" vertical="center"/>
    </xf>
    <xf numFmtId="173" fontId="261" fillId="0" borderId="25" xfId="0" applyNumberFormat="1" applyFont="1" applyBorder="1" applyAlignment="1">
      <alignment horizontal="center" vertical="center"/>
    </xf>
    <xf numFmtId="0" fontId="271" fillId="0" borderId="9" xfId="0" applyFont="1" applyBorder="1" applyAlignment="1">
      <alignment horizontal="left" vertical="center"/>
    </xf>
    <xf numFmtId="0" fontId="12" fillId="0" borderId="0" xfId="0" applyFont="1" applyAlignment="1">
      <alignment horizontal="left" vertical="center"/>
    </xf>
    <xf numFmtId="0" fontId="47" fillId="0" borderId="0" xfId="0" applyFont="1" applyAlignment="1">
      <alignment horizontal="left" vertical="center"/>
    </xf>
    <xf numFmtId="0" fontId="261" fillId="0" borderId="1" xfId="0" applyFont="1" applyBorder="1" applyAlignment="1">
      <alignment horizontal="center" vertical="center"/>
    </xf>
    <xf numFmtId="0" fontId="264" fillId="0" borderId="14" xfId="0" applyFont="1" applyBorder="1" applyAlignment="1">
      <alignment horizontal="left" vertical="center"/>
    </xf>
    <xf numFmtId="0" fontId="261" fillId="0" borderId="18" xfId="0" applyFont="1" applyBorder="1" applyAlignment="1">
      <alignment horizontal="left" vertical="center"/>
    </xf>
    <xf numFmtId="0" fontId="271" fillId="0" borderId="16" xfId="0" applyFont="1" applyBorder="1" applyAlignment="1">
      <alignment horizontal="left" vertical="center"/>
    </xf>
    <xf numFmtId="0" fontId="13" fillId="0" borderId="0" xfId="0" applyFont="1" applyAlignment="1">
      <alignment vertical="center"/>
    </xf>
    <xf numFmtId="0" fontId="8" fillId="0" borderId="0" xfId="0" applyFont="1" applyAlignment="1">
      <alignment vertical="center"/>
    </xf>
    <xf numFmtId="0" fontId="261" fillId="0" borderId="24" xfId="0" applyFont="1" applyBorder="1" applyAlignment="1">
      <alignment horizontal="center" vertical="center" wrapText="1"/>
    </xf>
    <xf numFmtId="0" fontId="260" fillId="0" borderId="25" xfId="0" applyFont="1" applyBorder="1" applyAlignment="1">
      <alignment horizontal="right" vertical="center"/>
    </xf>
    <xf numFmtId="0" fontId="264" fillId="0" borderId="23" xfId="0" applyFont="1" applyBorder="1" applyAlignment="1">
      <alignment vertical="center"/>
    </xf>
    <xf numFmtId="0" fontId="264" fillId="0" borderId="25" xfId="0" applyFont="1" applyBorder="1" applyAlignment="1">
      <alignment horizontal="right" vertical="center"/>
    </xf>
    <xf numFmtId="0" fontId="12" fillId="0" borderId="28" xfId="0" applyFont="1" applyBorder="1" applyAlignment="1">
      <alignment horizontal="left" vertical="center"/>
    </xf>
    <xf numFmtId="0" fontId="273" fillId="0" borderId="3" xfId="0" applyFont="1" applyBorder="1" applyAlignment="1">
      <alignment vertical="center"/>
    </xf>
    <xf numFmtId="0" fontId="8" fillId="0" borderId="0" xfId="0" applyFont="1" applyAlignment="1">
      <alignment horizontal="center" vertical="center"/>
    </xf>
    <xf numFmtId="0" fontId="264" fillId="0" borderId="14" xfId="0" applyFont="1" applyBorder="1" applyAlignment="1">
      <alignment vertical="center"/>
    </xf>
    <xf numFmtId="0" fontId="260" fillId="0" borderId="29" xfId="0" applyFont="1" applyBorder="1" applyAlignment="1">
      <alignment horizontal="right" vertical="center"/>
    </xf>
    <xf numFmtId="0" fontId="260" fillId="0" borderId="29" xfId="0" applyFont="1" applyBorder="1" applyAlignment="1">
      <alignment horizontal="center" vertical="center"/>
    </xf>
    <xf numFmtId="0" fontId="271" fillId="0" borderId="15" xfId="0" applyFont="1" applyBorder="1" applyAlignment="1">
      <alignment vertical="center"/>
    </xf>
    <xf numFmtId="0" fontId="271" fillId="0" borderId="17" xfId="0" applyFont="1" applyBorder="1" applyAlignment="1">
      <alignment vertical="center"/>
    </xf>
    <xf numFmtId="0" fontId="271" fillId="0" borderId="37" xfId="0" applyFont="1" applyBorder="1" applyAlignment="1">
      <alignment vertical="center"/>
    </xf>
    <xf numFmtId="0" fontId="9" fillId="0" borderId="28" xfId="0" applyFont="1" applyBorder="1" applyAlignment="1">
      <alignment horizontal="left" vertical="center"/>
    </xf>
    <xf numFmtId="0" fontId="264" fillId="0" borderId="10" xfId="0" applyFont="1" applyBorder="1" applyAlignment="1">
      <alignment vertical="center"/>
    </xf>
    <xf numFmtId="0" fontId="260" fillId="0" borderId="19" xfId="0" applyFont="1" applyBorder="1" applyAlignment="1">
      <alignment horizontal="right" vertical="center"/>
    </xf>
    <xf numFmtId="0" fontId="260" fillId="0" borderId="19" xfId="0" applyFont="1" applyBorder="1" applyAlignment="1">
      <alignment horizontal="center" vertical="center"/>
    </xf>
    <xf numFmtId="0" fontId="271" fillId="0" borderId="18" xfId="0" applyFont="1" applyBorder="1" applyAlignment="1">
      <alignment vertical="center"/>
    </xf>
    <xf numFmtId="0" fontId="261" fillId="0" borderId="6" xfId="0" applyFont="1" applyBorder="1" applyAlignment="1">
      <alignment horizontal="right" vertical="center"/>
    </xf>
    <xf numFmtId="0" fontId="260" fillId="0" borderId="11" xfId="0" applyFont="1" applyBorder="1" applyAlignment="1">
      <alignment horizontal="right" vertical="center"/>
    </xf>
    <xf numFmtId="0" fontId="260" fillId="0" borderId="7" xfId="0" applyFont="1" applyBorder="1" applyAlignment="1">
      <alignment horizontal="center" vertical="center"/>
    </xf>
    <xf numFmtId="0" fontId="261" fillId="0" borderId="9" xfId="0" applyFont="1" applyBorder="1" applyAlignment="1">
      <alignment horizontal="right" vertical="center"/>
    </xf>
    <xf numFmtId="0" fontId="273" fillId="0" borderId="51" xfId="0" applyFont="1" applyBorder="1" applyAlignment="1">
      <alignment vertical="center"/>
    </xf>
    <xf numFmtId="0" fontId="72" fillId="0" borderId="28" xfId="0" applyFont="1" applyBorder="1" applyAlignment="1">
      <alignment vertical="center"/>
    </xf>
    <xf numFmtId="0" fontId="261" fillId="0" borderId="2" xfId="0" applyFont="1" applyBorder="1" applyAlignment="1">
      <alignment horizontal="center" vertical="center"/>
    </xf>
    <xf numFmtId="0" fontId="260" fillId="0" borderId="135" xfId="0" applyFont="1" applyBorder="1" applyAlignment="1">
      <alignment horizontal="right" vertical="center"/>
    </xf>
    <xf numFmtId="0" fontId="260" fillId="0" borderId="92" xfId="0" applyFont="1" applyBorder="1" applyAlignment="1">
      <alignment horizontal="center" vertical="center"/>
    </xf>
    <xf numFmtId="0" fontId="260" fillId="0" borderId="200" xfId="0" applyFont="1" applyBorder="1" applyAlignment="1">
      <alignment horizontal="right" vertical="center"/>
    </xf>
    <xf numFmtId="0" fontId="260" fillId="0" borderId="20" xfId="0" applyFont="1" applyBorder="1" applyAlignment="1">
      <alignment horizontal="center" vertical="center"/>
    </xf>
    <xf numFmtId="0" fontId="260" fillId="0" borderId="22" xfId="0" applyFont="1" applyBorder="1" applyAlignment="1">
      <alignment horizontal="center" vertical="center"/>
    </xf>
    <xf numFmtId="0" fontId="22" fillId="0" borderId="28" xfId="0" applyFont="1" applyBorder="1" applyAlignment="1">
      <alignment horizontal="left" vertical="center"/>
    </xf>
    <xf numFmtId="0" fontId="273" fillId="0" borderId="8" xfId="0" applyFont="1" applyBorder="1" applyAlignment="1">
      <alignment vertical="center"/>
    </xf>
    <xf numFmtId="0" fontId="261" fillId="0" borderId="9" xfId="0" applyFont="1" applyBorder="1" applyAlignment="1">
      <alignment horizontal="left" vertical="center"/>
    </xf>
    <xf numFmtId="0" fontId="261" fillId="0" borderId="23" xfId="0" applyFont="1" applyBorder="1" applyAlignment="1">
      <alignment horizontal="left" vertical="center"/>
    </xf>
    <xf numFmtId="0" fontId="272" fillId="0" borderId="51" xfId="0" applyFont="1" applyBorder="1" applyAlignment="1">
      <alignment vertical="center"/>
    </xf>
    <xf numFmtId="0" fontId="304" fillId="0" borderId="27" xfId="0" applyFont="1" applyBorder="1" applyAlignment="1">
      <alignment horizontal="left" vertical="center"/>
    </xf>
    <xf numFmtId="0" fontId="304" fillId="0" borderId="24" xfId="0" applyFont="1" applyBorder="1" applyAlignment="1">
      <alignment horizontal="left" vertical="center"/>
    </xf>
    <xf numFmtId="0" fontId="269" fillId="0" borderId="22" xfId="0" applyFont="1" applyBorder="1" applyAlignment="1">
      <alignment vertical="center"/>
    </xf>
    <xf numFmtId="0" fontId="267" fillId="0" borderId="20" xfId="0" applyFont="1" applyBorder="1" applyAlignment="1">
      <alignment horizontal="right" vertical="center"/>
    </xf>
    <xf numFmtId="0" fontId="261" fillId="0" borderId="20" xfId="0" applyFont="1" applyBorder="1" applyAlignment="1">
      <alignment horizontal="center" vertical="center"/>
    </xf>
    <xf numFmtId="0" fontId="264" fillId="0" borderId="15" xfId="0" applyFont="1" applyBorder="1" applyAlignment="1">
      <alignment horizontal="left" vertical="center"/>
    </xf>
    <xf numFmtId="0" fontId="258" fillId="0" borderId="17" xfId="0" applyFont="1" applyBorder="1"/>
    <xf numFmtId="0" fontId="273" fillId="0" borderId="17" xfId="0" applyFont="1" applyBorder="1" applyAlignment="1">
      <alignment vertical="center"/>
    </xf>
    <xf numFmtId="0" fontId="269" fillId="0" borderId="17" xfId="0" applyFont="1" applyBorder="1" applyAlignment="1">
      <alignment vertical="center"/>
    </xf>
    <xf numFmtId="0" fontId="286" fillId="0" borderId="0" xfId="0" applyFont="1" applyAlignment="1">
      <alignment horizontal="left" vertical="center"/>
    </xf>
    <xf numFmtId="0" fontId="286" fillId="0" borderId="0" xfId="0" applyFont="1" applyAlignment="1">
      <alignment vertical="center"/>
    </xf>
    <xf numFmtId="0" fontId="261" fillId="0" borderId="45" xfId="0" applyFont="1" applyBorder="1" applyAlignment="1">
      <alignment horizontal="center" vertical="center"/>
    </xf>
    <xf numFmtId="0" fontId="264" fillId="0" borderId="31" xfId="0" applyFont="1" applyBorder="1" applyAlignment="1">
      <alignment horizontal="right" vertical="center"/>
    </xf>
    <xf numFmtId="0" fontId="264" fillId="0" borderId="21" xfId="0" applyFont="1" applyBorder="1" applyAlignment="1">
      <alignment vertical="center"/>
    </xf>
    <xf numFmtId="178" fontId="271" fillId="0" borderId="4" xfId="0" applyNumberFormat="1" applyFont="1" applyBorder="1" applyAlignment="1">
      <alignment horizontal="left" vertical="center"/>
    </xf>
    <xf numFmtId="0" fontId="273" fillId="0" borderId="104" xfId="0" applyFont="1" applyBorder="1" applyAlignment="1">
      <alignment vertical="center"/>
    </xf>
    <xf numFmtId="0" fontId="261" fillId="0" borderId="22" xfId="0" applyFont="1" applyBorder="1" applyAlignment="1">
      <alignment horizontal="center" vertical="center" wrapText="1"/>
    </xf>
    <xf numFmtId="0" fontId="283" fillId="19" borderId="25" xfId="0" applyFont="1" applyFill="1" applyBorder="1" applyAlignment="1">
      <alignment horizontal="center" vertical="center"/>
    </xf>
    <xf numFmtId="0" fontId="283" fillId="19" borderId="110" xfId="0" applyFont="1" applyFill="1" applyBorder="1" applyAlignment="1">
      <alignment horizontal="center" vertical="center"/>
    </xf>
    <xf numFmtId="0" fontId="264" fillId="0" borderId="44" xfId="0" applyFont="1" applyBorder="1" applyAlignment="1">
      <alignment horizontal="left" vertical="center"/>
    </xf>
    <xf numFmtId="0" fontId="264" fillId="0" borderId="24" xfId="0" applyFont="1" applyBorder="1" applyAlignment="1">
      <alignment horizontal="left" vertical="center"/>
    </xf>
    <xf numFmtId="0" fontId="277" fillId="0" borderId="37" xfId="0" applyFont="1" applyBorder="1" applyAlignment="1">
      <alignment horizontal="left" vertical="center"/>
    </xf>
    <xf numFmtId="0" fontId="285" fillId="0" borderId="28" xfId="0" applyFont="1" applyBorder="1" applyAlignment="1">
      <alignment horizontal="left" vertical="center"/>
    </xf>
    <xf numFmtId="0" fontId="261" fillId="0" borderId="3" xfId="0" applyFont="1" applyBorder="1" applyAlignment="1">
      <alignment horizontal="left" vertical="center"/>
    </xf>
    <xf numFmtId="0" fontId="264" fillId="0" borderId="0" xfId="0" applyFont="1" applyAlignment="1">
      <alignment horizontal="left" vertical="center"/>
    </xf>
    <xf numFmtId="178" fontId="282" fillId="0" borderId="22" xfId="0" applyNumberFormat="1" applyFont="1" applyBorder="1" applyAlignment="1">
      <alignment horizontal="left" vertical="center"/>
    </xf>
    <xf numFmtId="0" fontId="260" fillId="0" borderId="6" xfId="0" applyFont="1" applyBorder="1" applyAlignment="1">
      <alignment horizontal="right" vertical="center"/>
    </xf>
    <xf numFmtId="0" fontId="277" fillId="0" borderId="6" xfId="0" applyFont="1" applyBorder="1" applyAlignment="1">
      <alignment horizontal="left" vertical="center"/>
    </xf>
    <xf numFmtId="0" fontId="277" fillId="0" borderId="16" xfId="0" applyFont="1" applyBorder="1" applyAlignment="1">
      <alignment horizontal="left" vertical="center"/>
    </xf>
    <xf numFmtId="0" fontId="288" fillId="0" borderId="28" xfId="0" applyFont="1" applyBorder="1" applyAlignment="1">
      <alignment horizontal="left" vertical="center"/>
    </xf>
    <xf numFmtId="0" fontId="261" fillId="0" borderId="20" xfId="0" applyFont="1" applyBorder="1" applyAlignment="1">
      <alignment horizontal="right" vertical="center"/>
    </xf>
    <xf numFmtId="0" fontId="272" fillId="0" borderId="0" xfId="0" applyFont="1" applyAlignment="1">
      <alignment horizontal="center" vertical="center"/>
    </xf>
    <xf numFmtId="0" fontId="309" fillId="0" borderId="6" xfId="0" applyFont="1" applyBorder="1" applyAlignment="1">
      <alignment horizontal="right" vertical="center"/>
    </xf>
    <xf numFmtId="0" fontId="277" fillId="0" borderId="5" xfId="0" applyFont="1" applyBorder="1" applyAlignment="1">
      <alignment horizontal="left" vertical="center"/>
    </xf>
    <xf numFmtId="0" fontId="277" fillId="0" borderId="13" xfId="0" applyFont="1" applyBorder="1" applyAlignment="1">
      <alignment horizontal="left" vertical="center"/>
    </xf>
    <xf numFmtId="0" fontId="261" fillId="0" borderId="15" xfId="0" applyFont="1" applyBorder="1" applyAlignment="1">
      <alignment horizontal="left" vertical="center"/>
    </xf>
    <xf numFmtId="0" fontId="277" fillId="0" borderId="12" xfId="0" applyFont="1" applyBorder="1" applyAlignment="1">
      <alignment horizontal="left" vertical="center"/>
    </xf>
    <xf numFmtId="0" fontId="271" fillId="0" borderId="13" xfId="0" applyFont="1" applyBorder="1" applyAlignment="1">
      <alignment vertical="center"/>
    </xf>
    <xf numFmtId="0" fontId="261" fillId="0" borderId="27" xfId="0" applyFont="1" applyBorder="1" applyAlignment="1">
      <alignment horizontal="left" vertical="center"/>
    </xf>
    <xf numFmtId="0" fontId="309" fillId="0" borderId="25" xfId="0" applyFont="1" applyBorder="1" applyAlignment="1">
      <alignment horizontal="right" vertical="center"/>
    </xf>
    <xf numFmtId="0" fontId="277" fillId="0" borderId="9" xfId="0" applyFont="1" applyBorder="1" applyAlignment="1">
      <alignment horizontal="left" vertical="center"/>
    </xf>
    <xf numFmtId="0" fontId="271" fillId="0" borderId="8" xfId="0" applyFont="1" applyBorder="1" applyAlignment="1">
      <alignment vertical="center"/>
    </xf>
    <xf numFmtId="0" fontId="277" fillId="0" borderId="22" xfId="0" applyFont="1" applyBorder="1" applyAlignment="1">
      <alignment horizontal="left" vertical="center"/>
    </xf>
    <xf numFmtId="0" fontId="261" fillId="0" borderId="45" xfId="0" applyFont="1" applyBorder="1" applyAlignment="1">
      <alignment horizontal="right" vertical="center"/>
    </xf>
    <xf numFmtId="0" fontId="272" fillId="0" borderId="45" xfId="0" applyFont="1" applyBorder="1" applyAlignment="1">
      <alignment vertical="center"/>
    </xf>
    <xf numFmtId="0" fontId="269" fillId="0" borderId="16" xfId="0" applyFont="1" applyBorder="1" applyAlignment="1">
      <alignment vertical="center"/>
    </xf>
    <xf numFmtId="0" fontId="312" fillId="0" borderId="8" xfId="0" applyFont="1" applyBorder="1" applyAlignment="1">
      <alignment horizontal="center" vertical="center"/>
    </xf>
    <xf numFmtId="0" fontId="258" fillId="0" borderId="24" xfId="0" applyFont="1" applyBorder="1" applyAlignment="1">
      <alignment horizontal="left" vertical="center"/>
    </xf>
    <xf numFmtId="0" fontId="258" fillId="0" borderId="24" xfId="0" applyFont="1" applyBorder="1" applyAlignment="1">
      <alignment horizontal="center" vertical="center"/>
    </xf>
    <xf numFmtId="0" fontId="289" fillId="0" borderId="0" xfId="0" applyFont="1" applyAlignment="1">
      <alignment vertical="center"/>
    </xf>
    <xf numFmtId="0" fontId="273" fillId="0" borderId="37" xfId="0" applyFont="1" applyBorder="1" applyAlignment="1">
      <alignment vertical="center"/>
    </xf>
    <xf numFmtId="0" fontId="277" fillId="0" borderId="24" xfId="0" applyFont="1" applyBorder="1" applyAlignment="1">
      <alignment horizontal="left" vertical="center"/>
    </xf>
    <xf numFmtId="0" fontId="269" fillId="0" borderId="24" xfId="0" applyFont="1" applyBorder="1" applyAlignment="1">
      <alignment vertical="center"/>
    </xf>
    <xf numFmtId="0" fontId="13" fillId="0" borderId="0" xfId="0" applyFont="1" applyAlignment="1">
      <alignment horizontal="center" vertical="center"/>
    </xf>
    <xf numFmtId="186" fontId="264" fillId="0" borderId="4" xfId="0" applyNumberFormat="1" applyFont="1" applyBorder="1" applyAlignment="1">
      <alignment horizontal="left" vertical="center"/>
    </xf>
    <xf numFmtId="0" fontId="292" fillId="0" borderId="45" xfId="0" applyFont="1" applyBorder="1"/>
    <xf numFmtId="0" fontId="292" fillId="0" borderId="92" xfId="0" applyFont="1" applyBorder="1"/>
    <xf numFmtId="0" fontId="75" fillId="0" borderId="0" xfId="0" applyFont="1" applyAlignment="1">
      <alignment horizontal="right" vertical="center"/>
    </xf>
    <xf numFmtId="0" fontId="75" fillId="0" borderId="0" xfId="0" applyFont="1" applyAlignment="1">
      <alignment vertical="center"/>
    </xf>
    <xf numFmtId="0" fontId="292" fillId="0" borderId="0" xfId="0" applyFont="1"/>
    <xf numFmtId="0" fontId="292" fillId="0" borderId="28" xfId="0" applyFont="1" applyBorder="1"/>
    <xf numFmtId="0" fontId="261" fillId="0" borderId="24" xfId="0" applyFont="1" applyBorder="1" applyAlignment="1">
      <alignment vertical="center"/>
    </xf>
    <xf numFmtId="0" fontId="264" fillId="0" borderId="26" xfId="0" applyFont="1" applyBorder="1" applyAlignment="1">
      <alignment horizontal="right" vertical="center"/>
    </xf>
    <xf numFmtId="0" fontId="273" fillId="0" borderId="22" xfId="0" applyFont="1" applyBorder="1" applyAlignment="1">
      <alignment vertical="center"/>
    </xf>
    <xf numFmtId="0" fontId="5" fillId="0" borderId="51" xfId="0" applyFont="1" applyBorder="1" applyAlignment="1">
      <alignment vertical="center"/>
    </xf>
    <xf numFmtId="0" fontId="292" fillId="0" borderId="0" xfId="0" applyFont="1" applyAlignment="1">
      <alignment vertical="center"/>
    </xf>
    <xf numFmtId="0" fontId="292" fillId="0" borderId="0" xfId="0" applyFont="1" applyAlignment="1">
      <alignment vertical="center" wrapText="1"/>
    </xf>
    <xf numFmtId="0" fontId="292" fillId="0" borderId="28" xfId="0" applyFont="1" applyBorder="1" applyAlignment="1">
      <alignment vertical="center" wrapText="1"/>
    </xf>
    <xf numFmtId="0" fontId="261" fillId="0" borderId="8" xfId="0" applyFont="1" applyBorder="1" applyAlignment="1">
      <alignment horizontal="left" vertical="center" textRotation="90"/>
    </xf>
    <xf numFmtId="0" fontId="258" fillId="0" borderId="4" xfId="0" applyFont="1" applyBorder="1" applyAlignment="1">
      <alignment horizontal="center" vertical="center"/>
    </xf>
    <xf numFmtId="0" fontId="264" fillId="0" borderId="51" xfId="0" applyFont="1" applyBorder="1" applyAlignment="1">
      <alignment horizontal="left" vertical="center"/>
    </xf>
    <xf numFmtId="0" fontId="284" fillId="0" borderId="0" xfId="0" applyFont="1" applyAlignment="1">
      <alignment vertical="center"/>
    </xf>
    <xf numFmtId="0" fontId="261" fillId="0" borderId="31" xfId="0" applyFont="1" applyBorder="1" applyAlignment="1">
      <alignment horizontal="right" vertical="center"/>
    </xf>
    <xf numFmtId="0" fontId="269" fillId="0" borderId="4" xfId="0" applyFont="1" applyBorder="1" applyAlignment="1">
      <alignment vertical="center"/>
    </xf>
    <xf numFmtId="0" fontId="273" fillId="0" borderId="23" xfId="0" applyFont="1" applyBorder="1" applyAlignment="1">
      <alignment vertical="center"/>
    </xf>
    <xf numFmtId="0" fontId="261" fillId="0" borderId="16" xfId="0" applyFont="1" applyBorder="1" applyAlignment="1">
      <alignment vertical="center"/>
    </xf>
    <xf numFmtId="0" fontId="269" fillId="0" borderId="18" xfId="0" applyFont="1" applyBorder="1" applyAlignment="1">
      <alignment vertical="center"/>
    </xf>
    <xf numFmtId="0" fontId="271" fillId="0" borderId="14" xfId="0" applyFont="1" applyBorder="1" applyAlignment="1">
      <alignment horizontal="right" vertical="center"/>
    </xf>
    <xf numFmtId="0" fontId="271" fillId="0" borderId="21" xfId="0" applyFont="1" applyBorder="1" applyAlignment="1">
      <alignment vertical="center"/>
    </xf>
    <xf numFmtId="0" fontId="273" fillId="0" borderId="4" xfId="0" applyFont="1" applyBorder="1" applyAlignment="1">
      <alignment vertical="center"/>
    </xf>
    <xf numFmtId="0" fontId="261" fillId="0" borderId="26" xfId="0" applyFont="1" applyBorder="1" applyAlignment="1">
      <alignment horizontal="right" vertical="center"/>
    </xf>
    <xf numFmtId="0" fontId="271" fillId="0" borderId="10" xfId="0" applyFont="1" applyBorder="1" applyAlignment="1">
      <alignment horizontal="right" vertical="center"/>
    </xf>
    <xf numFmtId="0" fontId="276" fillId="0" borderId="10" xfId="0" applyFont="1" applyBorder="1" applyAlignment="1">
      <alignment horizontal="left" vertical="center"/>
    </xf>
    <xf numFmtId="0" fontId="273" fillId="0" borderId="13" xfId="0" applyFont="1" applyBorder="1" applyAlignment="1">
      <alignment vertical="center"/>
    </xf>
    <xf numFmtId="0" fontId="271" fillId="0" borderId="7" xfId="0" applyFont="1" applyBorder="1" applyAlignment="1">
      <alignment vertical="center"/>
    </xf>
    <xf numFmtId="0" fontId="264" fillId="0" borderId="9" xfId="0" applyFont="1" applyBorder="1" applyAlignment="1">
      <alignment horizontal="right" vertical="center"/>
    </xf>
    <xf numFmtId="0" fontId="272" fillId="0" borderId="22" xfId="0" applyFont="1" applyBorder="1"/>
    <xf numFmtId="0" fontId="6" fillId="0" borderId="0" xfId="0" applyFont="1"/>
    <xf numFmtId="0" fontId="6" fillId="0" borderId="0" xfId="0" applyFont="1" applyAlignment="1">
      <alignment vertical="center"/>
    </xf>
    <xf numFmtId="0" fontId="314" fillId="19" borderId="42" xfId="0" applyFont="1" applyFill="1" applyBorder="1" applyAlignment="1">
      <alignment horizontal="center" vertical="center" wrapText="1"/>
    </xf>
    <xf numFmtId="0" fontId="264" fillId="19" borderId="8" xfId="0" applyFont="1" applyFill="1" applyBorder="1" applyAlignment="1">
      <alignment horizontal="center" vertical="center" wrapText="1"/>
    </xf>
    <xf numFmtId="0" fontId="264" fillId="19" borderId="23" xfId="0" applyFont="1" applyFill="1" applyBorder="1" applyAlignment="1">
      <alignment horizontal="center" vertical="center" wrapText="1"/>
    </xf>
    <xf numFmtId="0" fontId="264" fillId="19" borderId="42" xfId="0" applyFont="1" applyFill="1" applyBorder="1" applyAlignment="1">
      <alignment horizontal="center" vertical="center" wrapText="1"/>
    </xf>
    <xf numFmtId="0" fontId="264" fillId="19" borderId="73" xfId="0" applyFont="1" applyFill="1" applyBorder="1" applyAlignment="1">
      <alignment horizontal="center" vertical="center" wrapText="1"/>
    </xf>
    <xf numFmtId="0" fontId="264" fillId="19" borderId="7" xfId="0" applyFont="1" applyFill="1" applyBorder="1" applyAlignment="1">
      <alignment horizontal="center" vertical="center" wrapText="1"/>
    </xf>
    <xf numFmtId="0" fontId="264" fillId="19" borderId="94" xfId="0" applyFont="1" applyFill="1" applyBorder="1" applyAlignment="1">
      <alignment horizontal="center" vertical="center"/>
    </xf>
    <xf numFmtId="0" fontId="264" fillId="19" borderId="87" xfId="0" applyFont="1" applyFill="1" applyBorder="1" applyAlignment="1">
      <alignment horizontal="center" vertical="center"/>
    </xf>
    <xf numFmtId="0" fontId="8" fillId="0" borderId="0" xfId="0" applyFont="1" applyAlignment="1">
      <alignment horizontal="left" vertical="center"/>
    </xf>
    <xf numFmtId="0" fontId="177" fillId="0" borderId="0" xfId="0" applyFont="1" applyAlignment="1">
      <alignment vertical="center"/>
    </xf>
    <xf numFmtId="0" fontId="261" fillId="0" borderId="107" xfId="0" applyFont="1" applyBorder="1" applyAlignment="1">
      <alignment horizontal="center" vertical="center"/>
    </xf>
    <xf numFmtId="0" fontId="264" fillId="24" borderId="107" xfId="0" applyFont="1" applyFill="1" applyBorder="1" applyAlignment="1">
      <alignment horizontal="center" vertical="center"/>
    </xf>
    <xf numFmtId="0" fontId="264" fillId="0" borderId="30" xfId="0" applyFont="1" applyBorder="1" applyAlignment="1">
      <alignment horizontal="center" vertical="center"/>
    </xf>
    <xf numFmtId="0" fontId="264" fillId="0" borderId="72" xfId="0" applyFont="1" applyBorder="1" applyAlignment="1">
      <alignment horizontal="center" vertical="center" wrapText="1"/>
    </xf>
    <xf numFmtId="2" fontId="264" fillId="0" borderId="1" xfId="0" applyNumberFormat="1" applyFont="1" applyBorder="1" applyAlignment="1">
      <alignment horizontal="center" vertical="center"/>
    </xf>
    <xf numFmtId="0" fontId="264" fillId="0" borderId="122" xfId="0" applyFont="1" applyBorder="1" applyAlignment="1">
      <alignment horizontal="center" vertical="center" wrapText="1"/>
    </xf>
    <xf numFmtId="2" fontId="264" fillId="0" borderId="4" xfId="0" applyNumberFormat="1" applyFont="1" applyBorder="1" applyAlignment="1">
      <alignment horizontal="center" vertical="center"/>
    </xf>
    <xf numFmtId="0" fontId="261" fillId="0" borderId="72" xfId="0" applyFont="1" applyBorder="1" applyAlignment="1">
      <alignment horizontal="center" vertical="center"/>
    </xf>
    <xf numFmtId="0" fontId="264" fillId="0" borderId="72" xfId="0" applyFont="1" applyBorder="1" applyAlignment="1">
      <alignment horizontal="center" vertical="center"/>
    </xf>
    <xf numFmtId="2" fontId="264" fillId="0" borderId="13" xfId="0" applyNumberFormat="1" applyFont="1" applyBorder="1" applyAlignment="1">
      <alignment horizontal="center" vertical="center"/>
    </xf>
    <xf numFmtId="0" fontId="261" fillId="0" borderId="73" xfId="0" applyFont="1" applyBorder="1" applyAlignment="1">
      <alignment horizontal="center" vertical="center"/>
    </xf>
    <xf numFmtId="0" fontId="264" fillId="0" borderId="73" xfId="0" applyFont="1" applyBorder="1" applyAlignment="1">
      <alignment horizontal="center" vertical="center"/>
    </xf>
    <xf numFmtId="0" fontId="264" fillId="0" borderId="94" xfId="0" applyFont="1" applyBorder="1" applyAlignment="1">
      <alignment horizontal="center" vertical="center"/>
    </xf>
    <xf numFmtId="0" fontId="264" fillId="0" borderId="73" xfId="0" applyFont="1" applyBorder="1" applyAlignment="1">
      <alignment horizontal="center" vertical="center" wrapText="1"/>
    </xf>
    <xf numFmtId="2" fontId="264" fillId="0" borderId="23" xfId="0" applyNumberFormat="1" applyFont="1" applyBorder="1" applyAlignment="1">
      <alignment horizontal="center" vertical="center"/>
    </xf>
    <xf numFmtId="0" fontId="176" fillId="0" borderId="0" xfId="0" applyFont="1" applyAlignment="1">
      <alignment vertical="center"/>
    </xf>
    <xf numFmtId="0" fontId="15" fillId="0" borderId="0" xfId="0" applyFont="1" applyAlignment="1">
      <alignment horizontal="center" vertical="center"/>
    </xf>
    <xf numFmtId="2" fontId="3" fillId="0" borderId="0" xfId="0" applyNumberFormat="1" applyFont="1" applyAlignment="1">
      <alignment horizontal="center" vertical="center"/>
    </xf>
    <xf numFmtId="0" fontId="278" fillId="0" borderId="0" xfId="0" applyFont="1" applyAlignment="1">
      <alignment vertical="center"/>
    </xf>
    <xf numFmtId="0" fontId="0" fillId="0" borderId="0" xfId="0" applyAlignment="1">
      <alignment horizontal="left" vertical="center"/>
    </xf>
    <xf numFmtId="0" fontId="11" fillId="0" borderId="0" xfId="0" applyFont="1" applyAlignment="1">
      <alignment horizontal="center" vertical="center"/>
    </xf>
    <xf numFmtId="0" fontId="22" fillId="0" borderId="0" xfId="0" applyFont="1" applyAlignment="1">
      <alignment horizontal="right" vertical="center"/>
    </xf>
    <xf numFmtId="0" fontId="28" fillId="0" borderId="0" xfId="0" applyFont="1" applyAlignment="1">
      <alignment horizontal="left"/>
    </xf>
    <xf numFmtId="0" fontId="1" fillId="0" borderId="0" xfId="0" applyFont="1" applyAlignment="1">
      <alignment horizontal="right" textRotation="90" wrapText="1"/>
    </xf>
    <xf numFmtId="0" fontId="28" fillId="0" borderId="0" xfId="0" applyFont="1" applyAlignment="1">
      <alignment horizontal="left" vertical="top"/>
    </xf>
    <xf numFmtId="0" fontId="1" fillId="0" borderId="0" xfId="0" applyFont="1" applyAlignment="1">
      <alignment vertical="top"/>
    </xf>
    <xf numFmtId="0" fontId="12" fillId="0" borderId="0" xfId="0" applyFont="1" applyAlignment="1">
      <alignment horizontal="center" vertical="center"/>
    </xf>
    <xf numFmtId="0" fontId="165" fillId="0" borderId="0" xfId="0" applyFont="1" applyAlignment="1">
      <alignment horizontal="left" vertical="center"/>
    </xf>
    <xf numFmtId="0" fontId="4" fillId="0" borderId="0" xfId="0" applyFont="1" applyAlignment="1">
      <alignment horizontal="center" vertical="center"/>
    </xf>
    <xf numFmtId="0" fontId="2" fillId="0" borderId="0" xfId="0" applyFont="1" applyAlignment="1">
      <alignment horizontal="right"/>
    </xf>
    <xf numFmtId="0" fontId="11" fillId="0" borderId="0" xfId="0" applyFont="1" applyAlignment="1">
      <alignment horizontal="left"/>
    </xf>
    <xf numFmtId="0" fontId="2" fillId="0" borderId="0" xfId="0" applyFont="1" applyAlignment="1">
      <alignment horizontal="right" vertical="center"/>
    </xf>
    <xf numFmtId="0" fontId="1" fillId="0" borderId="0" xfId="0" applyFont="1" applyAlignment="1">
      <alignment horizontal="center" vertical="center"/>
    </xf>
    <xf numFmtId="0" fontId="28" fillId="0" borderId="0" xfId="0" applyFont="1" applyAlignment="1">
      <alignment horizontal="center" vertical="center" wrapText="1"/>
    </xf>
    <xf numFmtId="0" fontId="3" fillId="0" borderId="0" xfId="0" applyFont="1" applyAlignment="1">
      <alignment textRotation="90"/>
    </xf>
    <xf numFmtId="0" fontId="160" fillId="0" borderId="0" xfId="0" applyFont="1" applyAlignment="1">
      <alignment vertical="center"/>
    </xf>
    <xf numFmtId="0" fontId="13" fillId="0" borderId="0" xfId="0" applyFont="1" applyAlignment="1">
      <alignment horizontal="right" vertical="center"/>
    </xf>
    <xf numFmtId="0" fontId="4" fillId="0" borderId="0" xfId="0" applyFont="1" applyAlignment="1">
      <alignment horizontal="left" vertical="center"/>
    </xf>
    <xf numFmtId="0" fontId="73" fillId="14" borderId="85" xfId="0" applyFont="1" applyFill="1" applyBorder="1" applyAlignment="1">
      <alignment vertical="center"/>
    </xf>
    <xf numFmtId="0" fontId="249" fillId="8" borderId="91" xfId="0" applyFont="1" applyFill="1" applyBorder="1" applyAlignment="1">
      <alignment horizontal="center" vertical="center"/>
    </xf>
    <xf numFmtId="0" fontId="175" fillId="8" borderId="22" xfId="0" applyFont="1" applyFill="1" applyBorder="1" applyAlignment="1">
      <alignment horizontal="right"/>
    </xf>
    <xf numFmtId="0" fontId="95" fillId="0" borderId="28" xfId="0" applyFont="1" applyBorder="1" applyAlignment="1">
      <alignment vertical="top"/>
    </xf>
    <xf numFmtId="0" fontId="174" fillId="0" borderId="0" xfId="0" applyFont="1" applyAlignment="1">
      <alignment horizontal="left" vertical="center"/>
    </xf>
    <xf numFmtId="0" fontId="340" fillId="0" borderId="0" xfId="0" applyFont="1" applyAlignment="1">
      <alignment horizontal="left"/>
    </xf>
    <xf numFmtId="0" fontId="131" fillId="0" borderId="0" xfId="0" applyFont="1" applyAlignment="1">
      <alignment vertical="center"/>
    </xf>
    <xf numFmtId="0" fontId="56" fillId="0" borderId="22" xfId="0" applyFont="1" applyBorder="1" applyAlignment="1">
      <alignment horizontal="center"/>
    </xf>
    <xf numFmtId="0" fontId="9" fillId="0" borderId="4" xfId="0" applyFont="1" applyBorder="1" applyAlignment="1">
      <alignment horizontal="center" vertical="center"/>
    </xf>
    <xf numFmtId="164" fontId="9" fillId="0" borderId="13" xfId="0" applyNumberFormat="1" applyFont="1" applyBorder="1" applyAlignment="1">
      <alignment horizontal="center" vertical="center"/>
    </xf>
    <xf numFmtId="0" fontId="56" fillId="0" borderId="28" xfId="0" applyFont="1" applyBorder="1" applyAlignment="1">
      <alignment horizontal="center"/>
    </xf>
    <xf numFmtId="0" fontId="170" fillId="0" borderId="0" xfId="0" applyFont="1" applyAlignment="1">
      <alignment horizontal="left"/>
    </xf>
    <xf numFmtId="0" fontId="67" fillId="0" borderId="22" xfId="0" applyFont="1" applyBorder="1" applyAlignment="1">
      <alignment horizontal="right" vertical="center"/>
    </xf>
    <xf numFmtId="0" fontId="15" fillId="0" borderId="0" xfId="0" applyFont="1" applyAlignment="1">
      <alignment horizontal="left" vertical="center" indent="1"/>
    </xf>
    <xf numFmtId="0" fontId="151" fillId="0" borderId="0" xfId="0" applyFont="1" applyAlignment="1">
      <alignment vertical="center"/>
    </xf>
    <xf numFmtId="0" fontId="251" fillId="0" borderId="0" xfId="0" applyFont="1" applyAlignment="1">
      <alignment horizontal="right" vertical="center"/>
    </xf>
    <xf numFmtId="0" fontId="119" fillId="0" borderId="0" xfId="0" applyFont="1" applyAlignment="1">
      <alignment vertical="center"/>
    </xf>
    <xf numFmtId="0" fontId="112" fillId="0" borderId="0" xfId="0" applyFont="1" applyAlignment="1">
      <alignment horizontal="right" vertical="center"/>
    </xf>
    <xf numFmtId="0" fontId="147" fillId="6" borderId="18" xfId="0" applyFont="1" applyFill="1" applyBorder="1" applyAlignment="1">
      <alignment horizontal="center" vertical="top"/>
    </xf>
    <xf numFmtId="0" fontId="16" fillId="0" borderId="18" xfId="0" applyFont="1" applyBorder="1" applyAlignment="1">
      <alignment vertical="center"/>
    </xf>
    <xf numFmtId="0" fontId="16" fillId="0" borderId="13" xfId="0" applyFont="1" applyBorder="1" applyAlignment="1">
      <alignment vertical="center"/>
    </xf>
    <xf numFmtId="0" fontId="16" fillId="0" borderId="23" xfId="0" applyFont="1" applyBorder="1" applyAlignment="1">
      <alignment vertical="center"/>
    </xf>
    <xf numFmtId="0" fontId="16" fillId="0" borderId="92" xfId="0" applyFont="1" applyBorder="1" applyAlignment="1">
      <alignment vertical="center" wrapText="1"/>
    </xf>
    <xf numFmtId="0" fontId="9" fillId="0" borderId="23" xfId="0" applyFont="1" applyBorder="1" applyAlignment="1">
      <alignment horizontal="left" vertical="center"/>
    </xf>
    <xf numFmtId="0" fontId="99" fillId="0" borderId="0" xfId="0" applyFont="1" applyAlignment="1">
      <alignment horizontal="right"/>
    </xf>
    <xf numFmtId="0" fontId="73" fillId="0" borderId="0" xfId="0" applyFont="1"/>
    <xf numFmtId="0" fontId="180" fillId="0" borderId="39" xfId="0" applyFont="1" applyBorder="1" applyAlignment="1">
      <alignment vertical="center"/>
    </xf>
    <xf numFmtId="0" fontId="192" fillId="19" borderId="0" xfId="0" applyFont="1" applyFill="1" applyAlignment="1">
      <alignment vertical="center"/>
    </xf>
    <xf numFmtId="0" fontId="192" fillId="19" borderId="0" xfId="0" applyFont="1" applyFill="1" applyAlignment="1">
      <alignment vertical="center" wrapText="1"/>
    </xf>
    <xf numFmtId="0" fontId="192" fillId="19" borderId="28" xfId="0" applyFont="1" applyFill="1" applyBorder="1" applyAlignment="1">
      <alignment vertical="center" wrapText="1"/>
    </xf>
    <xf numFmtId="0" fontId="192" fillId="19" borderId="51" xfId="0" applyFont="1" applyFill="1" applyBorder="1" applyAlignment="1">
      <alignment horizontal="left" vertical="center"/>
    </xf>
    <xf numFmtId="0" fontId="192" fillId="21" borderId="54" xfId="0" applyFont="1" applyFill="1" applyBorder="1" applyAlignment="1">
      <alignment vertical="center"/>
    </xf>
    <xf numFmtId="0" fontId="192" fillId="21" borderId="5" xfId="0" applyFont="1" applyFill="1" applyBorder="1" applyAlignment="1">
      <alignment horizontal="right" vertical="center"/>
    </xf>
    <xf numFmtId="0" fontId="192" fillId="21" borderId="13" xfId="0" applyFont="1" applyFill="1" applyBorder="1" applyAlignment="1">
      <alignment horizontal="right" vertical="center"/>
    </xf>
    <xf numFmtId="0" fontId="192" fillId="12" borderId="51" xfId="0" applyFont="1" applyFill="1" applyBorder="1" applyAlignment="1">
      <alignment vertical="center"/>
    </xf>
    <xf numFmtId="0" fontId="192" fillId="12" borderId="28" xfId="0" applyFont="1" applyFill="1" applyBorder="1" applyAlignment="1">
      <alignment vertical="center" wrapText="1"/>
    </xf>
    <xf numFmtId="0" fontId="355" fillId="19" borderId="21" xfId="0" applyFont="1" applyFill="1" applyBorder="1" applyAlignment="1">
      <alignment horizontal="right" vertical="center"/>
    </xf>
    <xf numFmtId="0" fontId="355" fillId="19" borderId="10" xfId="0" applyFont="1" applyFill="1" applyBorder="1" applyAlignment="1">
      <alignment horizontal="right" vertical="center"/>
    </xf>
    <xf numFmtId="0" fontId="355" fillId="14" borderId="10" xfId="0" applyFont="1" applyFill="1" applyBorder="1" applyAlignment="1">
      <alignment horizontal="right" vertical="center"/>
    </xf>
    <xf numFmtId="0" fontId="355" fillId="12" borderId="10" xfId="0" applyFont="1" applyFill="1" applyBorder="1" applyAlignment="1">
      <alignment horizontal="right" vertical="center"/>
    </xf>
    <xf numFmtId="0" fontId="251" fillId="0" borderId="16" xfId="0" applyFont="1" applyBorder="1" applyAlignment="1">
      <alignment horizontal="right" vertical="top"/>
    </xf>
    <xf numFmtId="0" fontId="357" fillId="0" borderId="25" xfId="0" applyFont="1" applyBorder="1" applyAlignment="1">
      <alignment horizontal="right" vertical="center"/>
    </xf>
    <xf numFmtId="0" fontId="75" fillId="25" borderId="16" xfId="0" applyFont="1" applyFill="1" applyBorder="1" applyAlignment="1" applyProtection="1">
      <alignment horizontal="right" vertical="center"/>
      <protection locked="0"/>
    </xf>
    <xf numFmtId="0" fontId="75" fillId="25" borderId="5" xfId="0" applyFont="1" applyFill="1" applyBorder="1" applyAlignment="1" applyProtection="1">
      <alignment horizontal="right" vertical="center"/>
      <protection locked="0"/>
    </xf>
    <xf numFmtId="169" fontId="75" fillId="25" borderId="79" xfId="0" applyNumberFormat="1" applyFont="1" applyFill="1" applyBorder="1" applyAlignment="1" applyProtection="1">
      <alignment horizontal="right" vertical="center"/>
      <protection locked="0"/>
    </xf>
    <xf numFmtId="0" fontId="75" fillId="25" borderId="5" xfId="0" applyFont="1" applyFill="1" applyBorder="1" applyAlignment="1" applyProtection="1">
      <alignment horizontal="left" vertical="center"/>
      <protection locked="0"/>
    </xf>
    <xf numFmtId="0" fontId="75" fillId="25" borderId="8" xfId="0" applyFont="1" applyFill="1" applyBorder="1" applyAlignment="1" applyProtection="1">
      <alignment horizontal="left" vertical="center"/>
      <protection locked="0"/>
    </xf>
    <xf numFmtId="0" fontId="100" fillId="0" borderId="111" xfId="0" applyFont="1" applyBorder="1" applyAlignment="1">
      <alignment horizontal="left" vertical="top"/>
    </xf>
    <xf numFmtId="0" fontId="100" fillId="0" borderId="24" xfId="0" applyFont="1" applyBorder="1" applyAlignment="1">
      <alignment horizontal="left" vertical="top"/>
    </xf>
    <xf numFmtId="0" fontId="117" fillId="0" borderId="129" xfId="0" applyFont="1" applyBorder="1" applyAlignment="1">
      <alignment horizontal="right" vertical="center"/>
    </xf>
    <xf numFmtId="0" fontId="2" fillId="27" borderId="47" xfId="0" applyFont="1" applyFill="1" applyBorder="1" applyAlignment="1" applyProtection="1">
      <alignment horizontal="center" vertical="center"/>
      <protection locked="0"/>
    </xf>
    <xf numFmtId="0" fontId="171" fillId="0" borderId="79" xfId="0" applyFont="1" applyBorder="1" applyAlignment="1">
      <alignment horizontal="right" vertical="center"/>
    </xf>
    <xf numFmtId="0" fontId="9" fillId="0" borderId="40" xfId="0" applyFont="1" applyBorder="1" applyAlignment="1">
      <alignment horizontal="left" vertical="center" indent="1"/>
    </xf>
    <xf numFmtId="0" fontId="2" fillId="0" borderId="0" xfId="0" applyFont="1" applyAlignment="1">
      <alignment horizontal="left" vertical="center" wrapText="1"/>
    </xf>
    <xf numFmtId="0" fontId="73" fillId="0" borderId="0" xfId="0" applyFont="1" applyAlignment="1">
      <alignment horizontal="left" vertical="center"/>
    </xf>
    <xf numFmtId="0" fontId="106" fillId="9" borderId="0" xfId="0" applyFont="1" applyFill="1" applyAlignment="1">
      <alignment horizontal="center" vertical="center"/>
    </xf>
    <xf numFmtId="0" fontId="74" fillId="0" borderId="117" xfId="0" applyFont="1" applyBorder="1" applyAlignment="1">
      <alignment horizontal="center" vertical="center"/>
    </xf>
    <xf numFmtId="0" fontId="74" fillId="0" borderId="47" xfId="0" applyFont="1" applyBorder="1" applyAlignment="1">
      <alignment horizontal="center" vertical="center"/>
    </xf>
    <xf numFmtId="0" fontId="74" fillId="0" borderId="140" xfId="0" applyFont="1" applyBorder="1" applyAlignment="1">
      <alignment horizontal="center" vertical="center"/>
    </xf>
    <xf numFmtId="0" fontId="79" fillId="0" borderId="227" xfId="0" applyFont="1" applyBorder="1" applyAlignment="1">
      <alignment horizontal="center" vertical="center"/>
    </xf>
    <xf numFmtId="0" fontId="9" fillId="0" borderId="205" xfId="0" applyFont="1" applyBorder="1" applyAlignment="1">
      <alignment horizontal="right" vertical="center"/>
    </xf>
    <xf numFmtId="0" fontId="143" fillId="8" borderId="143" xfId="0" applyFont="1" applyFill="1" applyBorder="1" applyAlignment="1">
      <alignment horizontal="center" vertical="center" wrapText="1"/>
    </xf>
    <xf numFmtId="0" fontId="143" fillId="8" borderId="119" xfId="0" applyFont="1" applyFill="1" applyBorder="1" applyAlignment="1">
      <alignment horizontal="center" vertical="center" wrapText="1"/>
    </xf>
    <xf numFmtId="0" fontId="73" fillId="8" borderId="119" xfId="0" applyFont="1" applyFill="1" applyBorder="1" applyAlignment="1">
      <alignment vertical="center"/>
    </xf>
    <xf numFmtId="49" fontId="112" fillId="8" borderId="119" xfId="0" applyNumberFormat="1" applyFont="1" applyFill="1" applyBorder="1" applyAlignment="1">
      <alignment horizontal="left" vertical="center" wrapText="1"/>
    </xf>
    <xf numFmtId="0" fontId="201" fillId="8" borderId="119" xfId="0" applyFont="1" applyFill="1" applyBorder="1" applyAlignment="1">
      <alignment horizontal="center" vertical="center"/>
    </xf>
    <xf numFmtId="0" fontId="213" fillId="8" borderId="119" xfId="0" applyFont="1" applyFill="1" applyBorder="1" applyAlignment="1">
      <alignment horizontal="left" vertical="center"/>
    </xf>
    <xf numFmtId="0" fontId="195" fillId="8" borderId="119" xfId="0" applyFont="1" applyFill="1" applyBorder="1" applyAlignment="1">
      <alignment horizontal="right" vertical="center"/>
    </xf>
    <xf numFmtId="0" fontId="104" fillId="8" borderId="119" xfId="0" applyFont="1" applyFill="1" applyBorder="1" applyAlignment="1">
      <alignment vertical="center"/>
    </xf>
    <xf numFmtId="0" fontId="37" fillId="8" borderId="119" xfId="0" applyFont="1" applyFill="1" applyBorder="1" applyAlignment="1">
      <alignment horizontal="center" vertical="center"/>
    </xf>
    <xf numFmtId="0" fontId="37" fillId="8" borderId="145" xfId="0" applyFont="1" applyFill="1" applyBorder="1" applyAlignment="1">
      <alignment horizontal="center" vertical="center"/>
    </xf>
    <xf numFmtId="0" fontId="101" fillId="11" borderId="25" xfId="0" applyFont="1" applyFill="1" applyBorder="1" applyAlignment="1">
      <alignment horizontal="left" vertical="center"/>
    </xf>
    <xf numFmtId="0" fontId="181" fillId="11" borderId="210" xfId="0" applyFont="1" applyFill="1" applyBorder="1" applyAlignment="1">
      <alignment horizontal="left" vertical="center"/>
    </xf>
    <xf numFmtId="0" fontId="214" fillId="0" borderId="201" xfId="0" applyFont="1" applyBorder="1" applyAlignment="1">
      <alignment vertical="center"/>
    </xf>
    <xf numFmtId="171" fontId="176" fillId="0" borderId="17" xfId="0" applyNumberFormat="1" applyFont="1" applyBorder="1" applyAlignment="1">
      <alignment horizontal="left" vertical="center"/>
    </xf>
    <xf numFmtId="0" fontId="214" fillId="0" borderId="17" xfId="0" applyFont="1" applyBorder="1" applyAlignment="1">
      <alignment vertical="center"/>
    </xf>
    <xf numFmtId="171" fontId="16" fillId="11" borderId="8" xfId="0" applyNumberFormat="1" applyFont="1" applyFill="1" applyBorder="1" applyAlignment="1">
      <alignment horizontal="center" vertical="center"/>
    </xf>
    <xf numFmtId="0" fontId="94" fillId="0" borderId="0" xfId="0" applyFont="1" applyAlignment="1">
      <alignment horizontal="left" vertical="center"/>
    </xf>
    <xf numFmtId="0" fontId="98" fillId="0" borderId="0" xfId="0" applyFont="1" applyAlignment="1">
      <alignment horizontal="left" vertical="top"/>
    </xf>
    <xf numFmtId="2" fontId="9" fillId="11" borderId="3" xfId="0" applyNumberFormat="1" applyFont="1" applyFill="1" applyBorder="1" applyAlignment="1">
      <alignment horizontal="center" vertical="center"/>
    </xf>
    <xf numFmtId="2" fontId="9" fillId="11" borderId="5" xfId="0" applyNumberFormat="1" applyFont="1" applyFill="1" applyBorder="1" applyAlignment="1">
      <alignment horizontal="center" vertical="center" wrapText="1"/>
    </xf>
    <xf numFmtId="2" fontId="16" fillId="12" borderId="5" xfId="0" applyNumberFormat="1" applyFont="1" applyFill="1" applyBorder="1" applyAlignment="1">
      <alignment horizontal="left" vertical="center"/>
    </xf>
    <xf numFmtId="2" fontId="9" fillId="0" borderId="16" xfId="0" applyNumberFormat="1" applyFont="1" applyBorder="1" applyAlignment="1">
      <alignment horizontal="left" vertical="center" wrapText="1"/>
    </xf>
    <xf numFmtId="2" fontId="9" fillId="0" borderId="5" xfId="0" applyNumberFormat="1" applyFont="1" applyBorder="1" applyAlignment="1">
      <alignment horizontal="left" vertical="center"/>
    </xf>
    <xf numFmtId="165" fontId="16" fillId="19" borderId="16" xfId="0" applyNumberFormat="1" applyFont="1" applyFill="1" applyBorder="1" applyAlignment="1">
      <alignment horizontal="left" vertical="center"/>
    </xf>
    <xf numFmtId="165" fontId="16" fillId="19" borderId="5" xfId="0" applyNumberFormat="1" applyFont="1" applyFill="1" applyBorder="1" applyAlignment="1">
      <alignment horizontal="left" vertical="center"/>
    </xf>
    <xf numFmtId="165" fontId="19" fillId="12" borderId="5" xfId="0" applyNumberFormat="1" applyFont="1" applyFill="1" applyBorder="1" applyAlignment="1">
      <alignment horizontal="center" vertical="center"/>
    </xf>
    <xf numFmtId="0" fontId="158" fillId="12" borderId="24" xfId="0" applyFont="1" applyFill="1" applyBorder="1" applyAlignment="1" applyProtection="1">
      <alignment horizontal="left" vertical="center" wrapText="1"/>
      <protection locked="0"/>
    </xf>
    <xf numFmtId="0" fontId="158" fillId="12" borderId="22" xfId="0" applyFont="1" applyFill="1" applyBorder="1" applyAlignment="1" applyProtection="1">
      <alignment horizontal="left" vertical="center" wrapText="1"/>
      <protection locked="0"/>
    </xf>
    <xf numFmtId="0" fontId="57" fillId="12" borderId="5" xfId="0" applyFont="1" applyFill="1" applyBorder="1" applyAlignment="1">
      <alignment horizontal="left" vertical="center"/>
    </xf>
    <xf numFmtId="0" fontId="192" fillId="12" borderId="95" xfId="0" applyFont="1" applyFill="1" applyBorder="1" applyAlignment="1">
      <alignment vertical="center"/>
    </xf>
    <xf numFmtId="0" fontId="192" fillId="12" borderId="111" xfId="0" applyFont="1" applyFill="1" applyBorder="1" applyAlignment="1">
      <alignment vertical="center" wrapText="1"/>
    </xf>
    <xf numFmtId="0" fontId="192" fillId="12" borderId="136" xfId="0" applyFont="1" applyFill="1" applyBorder="1" applyAlignment="1">
      <alignment vertical="center" wrapText="1"/>
    </xf>
    <xf numFmtId="0" fontId="192" fillId="12" borderId="0" xfId="0" applyFont="1" applyFill="1" applyAlignment="1">
      <alignment vertical="center" wrapText="1"/>
    </xf>
    <xf numFmtId="189" fontId="117" fillId="0" borderId="135" xfId="0" applyNumberFormat="1" applyFont="1" applyBorder="1" applyAlignment="1">
      <alignment horizontal="left" vertical="center" wrapText="1"/>
    </xf>
    <xf numFmtId="0" fontId="22" fillId="0" borderId="0" xfId="0" applyFont="1" applyAlignment="1">
      <alignment vertical="center"/>
    </xf>
    <xf numFmtId="0" fontId="236" fillId="12" borderId="5" xfId="0" applyFont="1" applyFill="1" applyBorder="1" applyAlignment="1">
      <alignment horizontal="right" vertical="center"/>
    </xf>
    <xf numFmtId="165" fontId="236" fillId="12" borderId="5" xfId="0" applyNumberFormat="1" applyFont="1" applyFill="1" applyBorder="1" applyAlignment="1">
      <alignment horizontal="center" vertical="center"/>
    </xf>
    <xf numFmtId="0" fontId="236" fillId="12" borderId="10" xfId="0" applyFont="1" applyFill="1" applyBorder="1" applyAlignment="1">
      <alignment horizontal="right" vertical="center"/>
    </xf>
    <xf numFmtId="177" fontId="236" fillId="12" borderId="5" xfId="0" applyNumberFormat="1" applyFont="1" applyFill="1" applyBorder="1" applyAlignment="1">
      <alignment horizontal="left" vertical="center"/>
    </xf>
    <xf numFmtId="0" fontId="9" fillId="6" borderId="5" xfId="0" applyFont="1" applyFill="1" applyBorder="1" applyAlignment="1">
      <alignment horizontal="right" vertical="center"/>
    </xf>
    <xf numFmtId="0" fontId="13" fillId="8" borderId="0" xfId="0" applyFont="1" applyFill="1" applyAlignment="1">
      <alignment horizontal="left" vertical="top"/>
    </xf>
    <xf numFmtId="0" fontId="13" fillId="6" borderId="0" xfId="0" applyFont="1" applyFill="1" applyAlignment="1">
      <alignment horizontal="right" vertical="top"/>
    </xf>
    <xf numFmtId="191" fontId="75" fillId="25" borderId="6" xfId="0" applyNumberFormat="1" applyFont="1" applyFill="1" applyBorder="1" applyAlignment="1" applyProtection="1">
      <alignment horizontal="left" vertical="center"/>
      <protection locked="0"/>
    </xf>
    <xf numFmtId="191" fontId="75" fillId="25" borderId="32" xfId="0" applyNumberFormat="1" applyFont="1" applyFill="1" applyBorder="1" applyAlignment="1" applyProtection="1">
      <alignment horizontal="left" vertical="center"/>
      <protection locked="0"/>
    </xf>
    <xf numFmtId="191" fontId="75" fillId="25" borderId="12" xfId="0" applyNumberFormat="1" applyFont="1" applyFill="1" applyBorder="1" applyAlignment="1" applyProtection="1">
      <alignment horizontal="left" vertical="center"/>
      <protection locked="0"/>
    </xf>
    <xf numFmtId="191" fontId="75" fillId="25" borderId="13" xfId="0" applyNumberFormat="1" applyFont="1" applyFill="1" applyBorder="1" applyAlignment="1" applyProtection="1">
      <alignment horizontal="left" vertical="center"/>
      <protection locked="0"/>
    </xf>
    <xf numFmtId="191" fontId="75" fillId="25" borderId="5" xfId="0" applyNumberFormat="1" applyFont="1" applyFill="1" applyBorder="1" applyAlignment="1" applyProtection="1">
      <alignment vertical="center"/>
      <protection locked="0"/>
    </xf>
    <xf numFmtId="191" fontId="75" fillId="25" borderId="34" xfId="0" applyNumberFormat="1" applyFont="1" applyFill="1" applyBorder="1" applyAlignment="1" applyProtection="1">
      <alignment horizontal="left" vertical="center"/>
      <protection locked="0"/>
    </xf>
    <xf numFmtId="191" fontId="75" fillId="25" borderId="5" xfId="0" applyNumberFormat="1" applyFont="1" applyFill="1" applyBorder="1" applyAlignment="1" applyProtection="1">
      <alignment horizontal="right" vertical="center"/>
      <protection locked="0"/>
    </xf>
    <xf numFmtId="191" fontId="75" fillId="25" borderId="43" xfId="0" applyNumberFormat="1" applyFont="1" applyFill="1" applyBorder="1" applyAlignment="1" applyProtection="1">
      <alignment horizontal="right" vertical="center"/>
      <protection locked="0"/>
    </xf>
    <xf numFmtId="191" fontId="75" fillId="25" borderId="53" xfId="0" applyNumberFormat="1" applyFont="1" applyFill="1" applyBorder="1" applyAlignment="1" applyProtection="1">
      <alignment horizontal="left" vertical="center"/>
      <protection locked="0"/>
    </xf>
    <xf numFmtId="191" fontId="75" fillId="25" borderId="65" xfId="0" applyNumberFormat="1" applyFont="1" applyFill="1" applyBorder="1" applyAlignment="1" applyProtection="1">
      <alignment horizontal="right" vertical="center"/>
      <protection locked="0"/>
    </xf>
    <xf numFmtId="191" fontId="75" fillId="25" borderId="66" xfId="0" applyNumberFormat="1" applyFont="1" applyFill="1" applyBorder="1" applyAlignment="1" applyProtection="1">
      <alignment horizontal="left" vertical="center"/>
      <protection locked="0"/>
    </xf>
    <xf numFmtId="191" fontId="75" fillId="25" borderId="121" xfId="0" applyNumberFormat="1" applyFont="1" applyFill="1" applyBorder="1" applyAlignment="1" applyProtection="1">
      <alignment horizontal="left" vertical="center"/>
      <protection locked="0"/>
    </xf>
    <xf numFmtId="191" fontId="74" fillId="25" borderId="108" xfId="0" applyNumberFormat="1" applyFont="1" applyFill="1" applyBorder="1" applyAlignment="1" applyProtection="1">
      <alignment horizontal="center" vertical="center"/>
      <protection locked="0"/>
    </xf>
    <xf numFmtId="0" fontId="168" fillId="0" borderId="166" xfId="0" applyFont="1" applyBorder="1" applyAlignment="1">
      <alignment horizontal="right" vertical="center"/>
    </xf>
    <xf numFmtId="0" fontId="368" fillId="19" borderId="107" xfId="0" applyFont="1" applyFill="1" applyBorder="1" applyAlignment="1">
      <alignment horizontal="center" vertical="top"/>
    </xf>
    <xf numFmtId="0" fontId="368" fillId="19" borderId="31" xfId="0" applyFont="1" applyFill="1" applyBorder="1" applyAlignment="1">
      <alignment horizontal="center" vertical="top"/>
    </xf>
    <xf numFmtId="0" fontId="368" fillId="19" borderId="93" xfId="0" applyFont="1" applyFill="1" applyBorder="1" applyAlignment="1">
      <alignment horizontal="center" vertical="top"/>
    </xf>
    <xf numFmtId="0" fontId="74" fillId="0" borderId="116" xfId="0" applyFont="1" applyBorder="1" applyAlignment="1">
      <alignment horizontal="center" vertical="center"/>
    </xf>
    <xf numFmtId="0" fontId="74" fillId="0" borderId="137" xfId="0" applyFont="1" applyBorder="1" applyAlignment="1">
      <alignment horizontal="center" vertical="center"/>
    </xf>
    <xf numFmtId="0" fontId="369" fillId="12" borderId="10" xfId="0" applyFont="1" applyFill="1" applyBorder="1" applyAlignment="1">
      <alignment horizontal="right" vertical="center"/>
    </xf>
    <xf numFmtId="0" fontId="79" fillId="0" borderId="109" xfId="0" applyFont="1" applyBorder="1" applyAlignment="1">
      <alignment horizontal="center"/>
    </xf>
    <xf numFmtId="0" fontId="106" fillId="9" borderId="107" xfId="0" applyFont="1" applyFill="1" applyBorder="1" applyAlignment="1">
      <alignment horizontal="center" vertical="center"/>
    </xf>
    <xf numFmtId="0" fontId="79" fillId="0" borderId="236" xfId="0" applyFont="1" applyBorder="1" applyAlignment="1">
      <alignment horizontal="center" vertical="center"/>
    </xf>
    <xf numFmtId="0" fontId="167" fillId="9" borderId="107" xfId="0" applyFont="1" applyFill="1" applyBorder="1" applyAlignment="1">
      <alignment horizontal="center" vertical="center"/>
    </xf>
    <xf numFmtId="0" fontId="73" fillId="0" borderId="129" xfId="0" applyFont="1" applyBorder="1" applyAlignment="1">
      <alignment vertical="center"/>
    </xf>
    <xf numFmtId="182" fontId="88" fillId="25" borderId="30" xfId="0" applyNumberFormat="1" applyFont="1" applyFill="1" applyBorder="1" applyAlignment="1" applyProtection="1">
      <alignment horizontal="center"/>
      <protection locked="0"/>
    </xf>
    <xf numFmtId="191" fontId="158" fillId="25" borderId="228" xfId="0" applyNumberFormat="1" applyFont="1" applyFill="1" applyBorder="1" applyAlignment="1" applyProtection="1">
      <alignment horizontal="center"/>
      <protection locked="0"/>
    </xf>
    <xf numFmtId="191" fontId="158" fillId="25" borderId="10" xfId="0" applyNumberFormat="1" applyFont="1" applyFill="1" applyBorder="1" applyAlignment="1" applyProtection="1">
      <alignment horizontal="center"/>
      <protection locked="0"/>
    </xf>
    <xf numFmtId="191" fontId="158" fillId="30" borderId="12" xfId="0" applyNumberFormat="1" applyFont="1" applyFill="1" applyBorder="1" applyAlignment="1" applyProtection="1">
      <alignment horizontal="center"/>
      <protection locked="0"/>
    </xf>
    <xf numFmtId="0" fontId="87" fillId="25" borderId="17" xfId="0" applyFont="1" applyFill="1" applyBorder="1" applyAlignment="1" applyProtection="1">
      <alignment horizontal="left"/>
      <protection locked="0"/>
    </xf>
    <xf numFmtId="0" fontId="370" fillId="19" borderId="31" xfId="0" applyFont="1" applyFill="1" applyBorder="1" applyAlignment="1">
      <alignment horizontal="center" vertical="center"/>
    </xf>
    <xf numFmtId="0" fontId="371" fillId="9" borderId="31" xfId="0" applyFont="1" applyFill="1" applyBorder="1" applyAlignment="1">
      <alignment horizontal="center" vertical="center"/>
    </xf>
    <xf numFmtId="165" fontId="261" fillId="0" borderId="31" xfId="0" applyNumberFormat="1" applyFont="1" applyBorder="1" applyAlignment="1">
      <alignment horizontal="center" vertical="center"/>
    </xf>
    <xf numFmtId="165" fontId="261" fillId="0" borderId="6" xfId="0" applyNumberFormat="1" applyFont="1" applyBorder="1" applyAlignment="1">
      <alignment horizontal="center" vertical="center"/>
    </xf>
    <xf numFmtId="165" fontId="264" fillId="0" borderId="6" xfId="0" applyNumberFormat="1" applyFont="1" applyBorder="1" applyAlignment="1">
      <alignment horizontal="center" vertical="center"/>
    </xf>
    <xf numFmtId="165" fontId="264" fillId="0" borderId="5" xfId="0" applyNumberFormat="1" applyFont="1" applyBorder="1" applyAlignment="1">
      <alignment horizontal="center" vertical="center"/>
    </xf>
    <xf numFmtId="165" fontId="265" fillId="0" borderId="7" xfId="0" applyNumberFormat="1" applyFont="1" applyBorder="1" applyAlignment="1">
      <alignment horizontal="center" vertical="center"/>
    </xf>
    <xf numFmtId="165" fontId="261" fillId="0" borderId="7" xfId="0" applyNumberFormat="1" applyFont="1" applyBorder="1" applyAlignment="1">
      <alignment horizontal="center" vertical="center"/>
    </xf>
    <xf numFmtId="2" fontId="261" fillId="0" borderId="26" xfId="0" applyNumberFormat="1" applyFont="1" applyBorder="1" applyAlignment="1">
      <alignment horizontal="center" vertical="center"/>
    </xf>
    <xf numFmtId="165" fontId="260" fillId="0" borderId="20" xfId="0" applyNumberFormat="1" applyFont="1" applyBorder="1" applyAlignment="1">
      <alignment horizontal="center" vertical="center"/>
    </xf>
    <xf numFmtId="165" fontId="264" fillId="0" borderId="29" xfId="0" applyNumberFormat="1" applyFont="1" applyBorder="1" applyAlignment="1">
      <alignment horizontal="center" vertical="center"/>
    </xf>
    <xf numFmtId="2" fontId="261" fillId="0" borderId="6" xfId="0" applyNumberFormat="1" applyFont="1" applyBorder="1" applyAlignment="1">
      <alignment horizontal="center" vertical="center"/>
    </xf>
    <xf numFmtId="2" fontId="261" fillId="0" borderId="25" xfId="0" applyNumberFormat="1" applyFont="1" applyBorder="1" applyAlignment="1">
      <alignment horizontal="center" vertical="center"/>
    </xf>
    <xf numFmtId="2" fontId="261" fillId="0" borderId="19" xfId="0" applyNumberFormat="1" applyFont="1" applyBorder="1" applyAlignment="1">
      <alignment horizontal="center" vertical="center"/>
    </xf>
    <xf numFmtId="165" fontId="264" fillId="0" borderId="31" xfId="0" applyNumberFormat="1" applyFont="1" applyBorder="1" applyAlignment="1">
      <alignment horizontal="center" vertical="center"/>
    </xf>
    <xf numFmtId="165" fontId="264" fillId="0" borderId="26" xfId="0" applyNumberFormat="1" applyFont="1" applyBorder="1" applyAlignment="1">
      <alignment horizontal="center" vertical="center"/>
    </xf>
    <xf numFmtId="0" fontId="73" fillId="15" borderId="0" xfId="0" applyFont="1" applyFill="1" applyAlignment="1">
      <alignment vertical="center"/>
    </xf>
    <xf numFmtId="0" fontId="181" fillId="0" borderId="8" xfId="0" applyFont="1" applyBorder="1" applyAlignment="1">
      <alignment vertical="center"/>
    </xf>
    <xf numFmtId="0" fontId="181" fillId="0" borderId="24" xfId="0" applyFont="1" applyBorder="1" applyAlignment="1">
      <alignment vertical="center"/>
    </xf>
    <xf numFmtId="0" fontId="176" fillId="15" borderId="0" xfId="0" applyFont="1" applyFill="1" applyAlignment="1">
      <alignment horizontal="left"/>
    </xf>
    <xf numFmtId="0" fontId="167" fillId="6" borderId="24" xfId="0" applyFont="1" applyFill="1" applyBorder="1" applyAlignment="1">
      <alignment horizontal="left"/>
    </xf>
    <xf numFmtId="0" fontId="84" fillId="8" borderId="119" xfId="0" applyFont="1" applyFill="1" applyBorder="1" applyAlignment="1">
      <alignment horizontal="right" vertical="center"/>
    </xf>
    <xf numFmtId="0" fontId="135" fillId="8" borderId="119" xfId="0" applyFont="1" applyFill="1" applyBorder="1" applyAlignment="1">
      <alignment vertical="center"/>
    </xf>
    <xf numFmtId="0" fontId="84" fillId="8" borderId="119" xfId="0" applyFont="1" applyFill="1" applyBorder="1" applyAlignment="1">
      <alignment horizontal="left" vertical="center"/>
    </xf>
    <xf numFmtId="0" fontId="15" fillId="8" borderId="119" xfId="0" applyFont="1" applyFill="1" applyBorder="1" applyAlignment="1">
      <alignment vertical="center"/>
    </xf>
    <xf numFmtId="0" fontId="73" fillId="15" borderId="46" xfId="0" applyFont="1" applyFill="1" applyBorder="1" applyAlignment="1">
      <alignment vertical="center"/>
    </xf>
    <xf numFmtId="0" fontId="278" fillId="0" borderId="0" xfId="0" applyFont="1" applyAlignment="1">
      <alignment horizontal="left" vertical="top"/>
    </xf>
    <xf numFmtId="0" fontId="278" fillId="0" borderId="0" xfId="0" applyFont="1" applyAlignment="1">
      <alignment horizontal="left"/>
    </xf>
    <xf numFmtId="0" fontId="373" fillId="11" borderId="22" xfId="0" applyFont="1" applyFill="1" applyBorder="1" applyAlignment="1">
      <alignment horizontal="right" vertical="center"/>
    </xf>
    <xf numFmtId="0" fontId="374" fillId="11" borderId="181" xfId="0" applyFont="1" applyFill="1" applyBorder="1" applyAlignment="1">
      <alignment horizontal="left" vertical="center"/>
    </xf>
    <xf numFmtId="49" fontId="106" fillId="0" borderId="45" xfId="0" applyNumberFormat="1" applyFont="1" applyBorder="1" applyAlignment="1">
      <alignment horizontal="center" vertical="center"/>
    </xf>
    <xf numFmtId="49" fontId="106" fillId="0" borderId="168" xfId="0" applyNumberFormat="1" applyFont="1" applyBorder="1" applyAlignment="1">
      <alignment horizontal="center" vertical="center"/>
    </xf>
    <xf numFmtId="0" fontId="15" fillId="0" borderId="5" xfId="0" applyFont="1" applyBorder="1" applyAlignment="1">
      <alignment vertical="center"/>
    </xf>
    <xf numFmtId="0" fontId="220" fillId="0" borderId="48" xfId="0" applyFont="1" applyBorder="1" applyAlignment="1">
      <alignment vertical="center"/>
    </xf>
    <xf numFmtId="0" fontId="73" fillId="0" borderId="14" xfId="0" applyFont="1" applyBorder="1" applyAlignment="1">
      <alignment vertical="center"/>
    </xf>
    <xf numFmtId="0" fontId="211" fillId="0" borderId="129" xfId="0" applyFont="1" applyBorder="1" applyAlignment="1">
      <alignment horizontal="left" vertical="center"/>
    </xf>
    <xf numFmtId="0" fontId="190" fillId="0" borderId="135" xfId="0" applyFont="1" applyBorder="1" applyAlignment="1">
      <alignment vertical="center"/>
    </xf>
    <xf numFmtId="0" fontId="74" fillId="0" borderId="26" xfId="0" applyFont="1" applyBorder="1" applyAlignment="1">
      <alignment horizontal="center" vertical="center" wrapText="1"/>
    </xf>
    <xf numFmtId="0" fontId="74" fillId="0" borderId="26" xfId="0" applyFont="1" applyBorder="1" applyAlignment="1">
      <alignment horizontal="center" vertical="center"/>
    </xf>
    <xf numFmtId="0" fontId="74" fillId="0" borderId="25" xfId="0" applyFont="1" applyBorder="1" applyAlignment="1">
      <alignment horizontal="center" vertical="center"/>
    </xf>
    <xf numFmtId="0" fontId="74" fillId="0" borderId="7" xfId="0" applyFont="1" applyBorder="1" applyAlignment="1">
      <alignment horizontal="center" vertical="center"/>
    </xf>
    <xf numFmtId="0" fontId="74" fillId="0" borderId="25" xfId="0" applyFont="1" applyBorder="1" applyAlignment="1">
      <alignment horizontal="center"/>
    </xf>
    <xf numFmtId="0" fontId="74" fillId="0" borderId="9" xfId="0" applyFont="1" applyBorder="1" applyAlignment="1">
      <alignment horizontal="center" vertical="center"/>
    </xf>
    <xf numFmtId="0" fontId="74" fillId="0" borderId="7" xfId="0" applyFont="1" applyBorder="1" applyAlignment="1">
      <alignment horizontal="center" vertical="center" wrapText="1"/>
    </xf>
    <xf numFmtId="0" fontId="74" fillId="0" borderId="1" xfId="0" applyFont="1" applyBorder="1" applyAlignment="1">
      <alignment horizontal="center" vertical="center"/>
    </xf>
    <xf numFmtId="49" fontId="74" fillId="0" borderId="1" xfId="0" applyNumberFormat="1" applyFont="1" applyBorder="1" applyAlignment="1">
      <alignment horizontal="center" vertical="center"/>
    </xf>
    <xf numFmtId="0" fontId="74" fillId="0" borderId="10" xfId="0" applyFont="1" applyBorder="1" applyAlignment="1">
      <alignment horizontal="center" vertical="center"/>
    </xf>
    <xf numFmtId="0" fontId="74" fillId="0" borderId="1" xfId="0" applyFont="1" applyBorder="1" applyAlignment="1">
      <alignment horizontal="center"/>
    </xf>
    <xf numFmtId="0" fontId="74" fillId="0" borderId="1" xfId="0" applyFont="1" applyBorder="1" applyAlignment="1">
      <alignment horizontal="center" vertical="center" wrapText="1"/>
    </xf>
    <xf numFmtId="0" fontId="74" fillId="0" borderId="6" xfId="0" applyFont="1" applyBorder="1" applyAlignment="1">
      <alignment horizontal="center" vertical="center"/>
    </xf>
    <xf numFmtId="0" fontId="74" fillId="0" borderId="9" xfId="0" applyFont="1" applyBorder="1" applyAlignment="1">
      <alignment horizontal="center" vertical="center" wrapText="1"/>
    </xf>
    <xf numFmtId="0" fontId="74" fillId="0" borderId="7" xfId="0" applyFont="1" applyBorder="1" applyAlignment="1">
      <alignment horizontal="center"/>
    </xf>
    <xf numFmtId="0" fontId="83" fillId="0" borderId="7" xfId="0" applyFont="1" applyBorder="1" applyAlignment="1">
      <alignment horizontal="center" vertical="center"/>
    </xf>
    <xf numFmtId="0" fontId="74" fillId="0" borderId="61" xfId="0" applyFont="1" applyBorder="1" applyAlignment="1">
      <alignment horizontal="center" vertical="center"/>
    </xf>
    <xf numFmtId="0" fontId="2" fillId="0" borderId="24" xfId="0" applyFont="1" applyBorder="1" applyAlignment="1">
      <alignment horizontal="left" vertical="center"/>
    </xf>
    <xf numFmtId="172" fontId="361" fillId="25" borderId="13" xfId="0" applyNumberFormat="1" applyFont="1" applyFill="1" applyBorder="1" applyAlignment="1" applyProtection="1">
      <alignment horizontal="left" vertical="center" wrapText="1"/>
      <protection locked="0"/>
    </xf>
    <xf numFmtId="172" fontId="361" fillId="25" borderId="136" xfId="0" applyNumberFormat="1" applyFont="1" applyFill="1" applyBorder="1" applyAlignment="1" applyProtection="1">
      <alignment horizontal="left" vertical="center" wrapText="1"/>
      <protection locked="0"/>
    </xf>
    <xf numFmtId="172" fontId="361" fillId="25" borderId="66" xfId="0" applyNumberFormat="1" applyFont="1" applyFill="1" applyBorder="1" applyAlignment="1" applyProtection="1">
      <alignment horizontal="left" vertical="center" wrapText="1"/>
      <protection locked="0"/>
    </xf>
    <xf numFmtId="0" fontId="385" fillId="0" borderId="116" xfId="0" applyFont="1" applyBorder="1" applyAlignment="1">
      <alignment horizontal="center" vertical="center"/>
    </xf>
    <xf numFmtId="0" fontId="385" fillId="0" borderId="0" xfId="0" applyFont="1" applyAlignment="1">
      <alignment horizontal="center" vertical="center"/>
    </xf>
    <xf numFmtId="0" fontId="385" fillId="0" borderId="137" xfId="0" applyFont="1" applyBorder="1" applyAlignment="1">
      <alignment horizontal="center" vertical="center"/>
    </xf>
    <xf numFmtId="49" fontId="385" fillId="0" borderId="47" xfId="0" applyNumberFormat="1" applyFont="1" applyBorder="1" applyAlignment="1">
      <alignment horizontal="center" vertical="center"/>
    </xf>
    <xf numFmtId="0" fontId="176" fillId="19" borderId="31" xfId="0" applyFont="1" applyFill="1" applyBorder="1" applyAlignment="1">
      <alignment vertical="center"/>
    </xf>
    <xf numFmtId="0" fontId="2" fillId="0" borderId="85" xfId="0" applyFont="1" applyBorder="1" applyAlignment="1">
      <alignment horizontal="left" vertical="center" wrapText="1"/>
    </xf>
    <xf numFmtId="0" fontId="2" fillId="0" borderId="56" xfId="0" applyFont="1" applyBorder="1" applyAlignment="1">
      <alignment horizontal="center" wrapText="1"/>
    </xf>
    <xf numFmtId="0" fontId="385" fillId="0" borderId="7" xfId="0" applyFont="1" applyBorder="1" applyAlignment="1">
      <alignment horizontal="center" vertical="center"/>
    </xf>
    <xf numFmtId="0" fontId="386" fillId="0" borderId="19" xfId="0" applyFont="1" applyBorder="1" applyAlignment="1">
      <alignment vertical="center" wrapText="1"/>
    </xf>
    <xf numFmtId="0" fontId="386" fillId="0" borderId="46" xfId="0" applyFont="1" applyBorder="1" applyAlignment="1">
      <alignment vertical="center" wrapText="1"/>
    </xf>
    <xf numFmtId="0" fontId="386" fillId="0" borderId="29" xfId="0" applyFont="1" applyBorder="1" applyAlignment="1">
      <alignment vertical="center" wrapText="1"/>
    </xf>
    <xf numFmtId="0" fontId="386" fillId="0" borderId="135" xfId="0" applyFont="1" applyBorder="1" applyAlignment="1">
      <alignment vertical="center" wrapText="1"/>
    </xf>
    <xf numFmtId="0" fontId="116" fillId="0" borderId="135" xfId="0" applyFont="1" applyBorder="1" applyAlignment="1">
      <alignment horizontal="left" vertical="center"/>
    </xf>
    <xf numFmtId="0" fontId="116" fillId="0" borderId="135" xfId="0" applyFont="1" applyBorder="1" applyAlignment="1">
      <alignment vertical="center" wrapText="1"/>
    </xf>
    <xf numFmtId="0" fontId="116" fillId="0" borderId="25" xfId="0" applyFont="1" applyBorder="1" applyAlignment="1">
      <alignment vertical="center" wrapText="1"/>
    </xf>
    <xf numFmtId="0" fontId="115" fillId="0" borderId="14" xfId="0" applyFont="1" applyBorder="1" applyAlignment="1">
      <alignment horizontal="right" vertical="center"/>
    </xf>
    <xf numFmtId="0" fontId="115" fillId="0" borderId="10" xfId="0" applyFont="1" applyBorder="1" applyAlignment="1">
      <alignment horizontal="right" vertical="center"/>
    </xf>
    <xf numFmtId="0" fontId="185" fillId="0" borderId="9" xfId="0" applyFont="1" applyBorder="1" applyAlignment="1">
      <alignment horizontal="right" vertical="center"/>
    </xf>
    <xf numFmtId="0" fontId="387" fillId="0" borderId="0" xfId="0" applyFont="1" applyAlignment="1">
      <alignment horizontal="left" vertical="center"/>
    </xf>
    <xf numFmtId="0" fontId="388" fillId="0" borderId="16" xfId="0" applyFont="1" applyBorder="1" applyAlignment="1">
      <alignment vertical="center"/>
    </xf>
    <xf numFmtId="0" fontId="387" fillId="0" borderId="3" xfId="0" applyFont="1" applyBorder="1" applyAlignment="1">
      <alignment horizontal="left" vertical="center"/>
    </xf>
    <xf numFmtId="0" fontId="387" fillId="0" borderId="17" xfId="0" applyFont="1" applyBorder="1" applyAlignment="1">
      <alignment horizontal="left" vertical="center"/>
    </xf>
    <xf numFmtId="0" fontId="387" fillId="0" borderId="8" xfId="0" applyFont="1" applyBorder="1" applyAlignment="1">
      <alignment horizontal="left" vertical="center"/>
    </xf>
    <xf numFmtId="178" fontId="75" fillId="25" borderId="4" xfId="0" applyNumberFormat="1" applyFont="1" applyFill="1" applyBorder="1" applyAlignment="1" applyProtection="1">
      <alignment horizontal="left" vertical="center" wrapText="1"/>
      <protection locked="0"/>
    </xf>
    <xf numFmtId="0" fontId="49" fillId="27" borderId="1" xfId="0" applyFont="1" applyFill="1" applyBorder="1" applyAlignment="1" applyProtection="1">
      <alignment horizontal="center" vertical="center"/>
      <protection locked="0"/>
    </xf>
    <xf numFmtId="0" fontId="56" fillId="0" borderId="6" xfId="0" applyFont="1" applyBorder="1" applyAlignment="1">
      <alignment horizontal="left" vertical="center"/>
    </xf>
    <xf numFmtId="0" fontId="107" fillId="0" borderId="12" xfId="0" applyFont="1" applyBorder="1" applyAlignment="1">
      <alignment vertical="center"/>
    </xf>
    <xf numFmtId="0" fontId="222" fillId="0" borderId="16" xfId="0" applyFont="1" applyBorder="1" applyAlignment="1">
      <alignment horizontal="left" vertical="center"/>
    </xf>
    <xf numFmtId="0" fontId="168" fillId="0" borderId="48" xfId="0" applyFont="1" applyBorder="1" applyAlignment="1">
      <alignment vertical="center"/>
    </xf>
    <xf numFmtId="0" fontId="107" fillId="0" borderId="48" xfId="0" applyFont="1" applyBorder="1" applyAlignment="1">
      <alignment vertical="center"/>
    </xf>
    <xf numFmtId="0" fontId="343" fillId="0" borderId="48" xfId="0" applyFont="1" applyBorder="1" applyAlignment="1">
      <alignment vertical="center"/>
    </xf>
    <xf numFmtId="0" fontId="73" fillId="0" borderId="48" xfId="0" applyFont="1" applyBorder="1" applyAlignment="1">
      <alignment vertical="center"/>
    </xf>
    <xf numFmtId="0" fontId="101" fillId="0" borderId="129" xfId="0" applyFont="1" applyBorder="1" applyAlignment="1">
      <alignment horizontal="left" vertical="center"/>
    </xf>
    <xf numFmtId="0" fontId="208" fillId="0" borderId="92" xfId="0" applyFont="1" applyBorder="1" applyAlignment="1">
      <alignment vertical="center" wrapText="1"/>
    </xf>
    <xf numFmtId="171" fontId="75" fillId="25" borderId="13" xfId="0" applyNumberFormat="1" applyFont="1" applyFill="1" applyBorder="1" applyAlignment="1" applyProtection="1">
      <alignment horizontal="left" vertical="center" wrapText="1"/>
      <protection locked="0"/>
    </xf>
    <xf numFmtId="173" fontId="75" fillId="25" borderId="23" xfId="0" applyNumberFormat="1" applyFont="1" applyFill="1" applyBorder="1" applyAlignment="1" applyProtection="1">
      <alignment horizontal="left" vertical="center" wrapText="1"/>
      <protection locked="0"/>
    </xf>
    <xf numFmtId="171" fontId="75" fillId="25" borderId="4" xfId="0" applyNumberFormat="1" applyFont="1" applyFill="1" applyBorder="1" applyAlignment="1" applyProtection="1">
      <alignment horizontal="left" vertical="center" wrapText="1"/>
      <protection locked="0"/>
    </xf>
    <xf numFmtId="0" fontId="390" fillId="9" borderId="21" xfId="0" applyFont="1" applyFill="1" applyBorder="1" applyAlignment="1">
      <alignment horizontal="center" vertical="center"/>
    </xf>
    <xf numFmtId="0" fontId="264" fillId="18" borderId="31" xfId="0" applyFont="1" applyFill="1" applyBorder="1" applyAlignment="1">
      <alignment horizontal="center" vertical="center"/>
    </xf>
    <xf numFmtId="1" fontId="264" fillId="18" borderId="26" xfId="0" applyNumberFormat="1" applyFont="1" applyFill="1" applyBorder="1" applyAlignment="1">
      <alignment horizontal="center" vertical="center"/>
    </xf>
    <xf numFmtId="0" fontId="264" fillId="18" borderId="2" xfId="0" applyFont="1" applyFill="1" applyBorder="1" applyAlignment="1">
      <alignment horizontal="center" vertical="center"/>
    </xf>
    <xf numFmtId="0" fontId="264" fillId="18" borderId="7" xfId="0" applyFont="1" applyFill="1" applyBorder="1" applyAlignment="1">
      <alignment horizontal="center" vertical="center"/>
    </xf>
    <xf numFmtId="0" fontId="264" fillId="18" borderId="1" xfId="0" applyFont="1" applyFill="1" applyBorder="1" applyAlignment="1">
      <alignment horizontal="center" vertical="center"/>
    </xf>
    <xf numFmtId="0" fontId="330" fillId="18" borderId="7" xfId="0" applyFont="1" applyFill="1" applyBorder="1" applyAlignment="1" applyProtection="1">
      <alignment horizontal="center" vertical="center"/>
      <protection locked="0"/>
    </xf>
    <xf numFmtId="0" fontId="264" fillId="18" borderId="2" xfId="0" applyFont="1" applyFill="1" applyBorder="1" applyAlignment="1">
      <alignment vertical="center"/>
    </xf>
    <xf numFmtId="0" fontId="264" fillId="18" borderId="1" xfId="0" applyFont="1" applyFill="1" applyBorder="1" applyAlignment="1">
      <alignment vertical="center"/>
    </xf>
    <xf numFmtId="0" fontId="264" fillId="18" borderId="26" xfId="0" applyFont="1" applyFill="1" applyBorder="1" applyAlignment="1">
      <alignment horizontal="center" vertical="center"/>
    </xf>
    <xf numFmtId="0" fontId="264" fillId="18" borderId="26" xfId="0" applyFont="1" applyFill="1" applyBorder="1" applyAlignment="1">
      <alignment vertical="center"/>
    </xf>
    <xf numFmtId="165" fontId="264" fillId="18" borderId="31" xfId="0" applyNumberFormat="1" applyFont="1" applyFill="1" applyBorder="1" applyAlignment="1">
      <alignment horizontal="center" vertical="center"/>
    </xf>
    <xf numFmtId="0" fontId="280" fillId="19" borderId="22" xfId="0" applyFont="1" applyFill="1" applyBorder="1" applyAlignment="1">
      <alignment horizontal="center"/>
    </xf>
    <xf numFmtId="0" fontId="271" fillId="0" borderId="23" xfId="0" applyFont="1" applyBorder="1" applyAlignment="1">
      <alignment vertical="center"/>
    </xf>
    <xf numFmtId="0" fontId="259" fillId="0" borderId="0" xfId="0" applyFont="1" applyAlignment="1">
      <alignment horizontal="center"/>
    </xf>
    <xf numFmtId="0" fontId="104" fillId="0" borderId="0" xfId="0" applyFont="1" applyAlignment="1">
      <alignment horizontal="left" textRotation="90"/>
    </xf>
    <xf numFmtId="0" fontId="184" fillId="0" borderId="0" xfId="0" applyFont="1" applyAlignment="1">
      <alignment horizontal="right"/>
    </xf>
    <xf numFmtId="49" fontId="115" fillId="0" borderId="0" xfId="0" applyNumberFormat="1" applyFont="1" applyAlignment="1">
      <alignment horizontal="center" vertical="center"/>
    </xf>
    <xf numFmtId="0" fontId="110" fillId="0" borderId="0" xfId="0" applyFont="1" applyAlignment="1">
      <alignment horizontal="left" vertical="center"/>
    </xf>
    <xf numFmtId="0" fontId="110" fillId="0" borderId="0" xfId="0" applyFont="1" applyAlignment="1">
      <alignment horizontal="left" vertical="center" wrapText="1"/>
    </xf>
    <xf numFmtId="0" fontId="87" fillId="0" borderId="51" xfId="0" applyFont="1" applyBorder="1" applyAlignment="1">
      <alignment textRotation="90"/>
    </xf>
    <xf numFmtId="0" fontId="115" fillId="0" borderId="0" xfId="0" applyFont="1" applyAlignment="1">
      <alignment horizontal="left" vertical="center" wrapText="1"/>
    </xf>
    <xf numFmtId="0" fontId="114" fillId="0" borderId="0" xfId="0" applyFont="1" applyAlignment="1">
      <alignment horizontal="center" vertical="center"/>
    </xf>
    <xf numFmtId="49" fontId="115" fillId="0" borderId="0" xfId="0" applyNumberFormat="1" applyFont="1" applyAlignment="1">
      <alignment horizontal="left" vertical="center"/>
    </xf>
    <xf numFmtId="0" fontId="320" fillId="0" borderId="0" xfId="0" applyFont="1" applyAlignment="1">
      <alignment horizontal="left" vertical="center" wrapText="1"/>
    </xf>
    <xf numFmtId="0" fontId="95" fillId="0" borderId="0" xfId="0" applyFont="1" applyAlignment="1">
      <alignment horizontal="left" vertical="center" textRotation="90"/>
    </xf>
    <xf numFmtId="0" fontId="88" fillId="0" borderId="0" xfId="0" applyFont="1" applyAlignment="1">
      <alignment vertical="center"/>
    </xf>
    <xf numFmtId="0" fontId="158" fillId="0" borderId="0" xfId="0" applyFont="1" applyAlignment="1">
      <alignment horizontal="left" vertical="center"/>
    </xf>
    <xf numFmtId="0" fontId="88" fillId="0" borderId="0" xfId="0" applyFont="1" applyAlignment="1">
      <alignment horizontal="left" vertical="center"/>
    </xf>
    <xf numFmtId="0" fontId="108" fillId="0" borderId="0" xfId="0" applyFont="1" applyAlignment="1">
      <alignment vertical="top" wrapText="1"/>
    </xf>
    <xf numFmtId="0" fontId="91" fillId="0" borderId="0" xfId="0" applyFont="1" applyAlignment="1">
      <alignment horizontal="right" vertical="top"/>
    </xf>
    <xf numFmtId="0" fontId="99" fillId="0" borderId="51" xfId="0" applyFont="1" applyBorder="1" applyAlignment="1">
      <alignment horizontal="right" vertical="top"/>
    </xf>
    <xf numFmtId="0" fontId="366" fillId="0" borderId="0" xfId="0" applyFont="1" applyAlignment="1">
      <alignment vertical="center"/>
    </xf>
    <xf numFmtId="0" fontId="108" fillId="0" borderId="51" xfId="0" applyFont="1" applyBorder="1" applyAlignment="1">
      <alignment vertical="top" wrapText="1"/>
    </xf>
    <xf numFmtId="0" fontId="88" fillId="0" borderId="0" xfId="0" applyFont="1" applyAlignment="1">
      <alignment horizontal="right" vertical="center"/>
    </xf>
    <xf numFmtId="0" fontId="121" fillId="0" borderId="0" xfId="0" applyFont="1" applyAlignment="1">
      <alignment horizontal="right" vertical="center"/>
    </xf>
    <xf numFmtId="0" fontId="91" fillId="0" borderId="51" xfId="0" applyFont="1" applyBorder="1" applyAlignment="1">
      <alignment horizontal="right" vertical="top"/>
    </xf>
    <xf numFmtId="0" fontId="37" fillId="0" borderId="0" xfId="0" applyFont="1" applyAlignment="1">
      <alignment horizontal="center" vertical="center"/>
    </xf>
    <xf numFmtId="0" fontId="124" fillId="0" borderId="0" xfId="0" applyFont="1"/>
    <xf numFmtId="0" fontId="9" fillId="0" borderId="0" xfId="0" applyFont="1" applyAlignment="1">
      <alignment horizontal="left" vertical="center" indent="1"/>
    </xf>
    <xf numFmtId="0" fontId="16" fillId="0" borderId="0" xfId="0" applyFont="1" applyAlignment="1">
      <alignment horizontal="left" vertical="center" indent="1"/>
    </xf>
    <xf numFmtId="0" fontId="9" fillId="0" borderId="0" xfId="0" applyFont="1" applyAlignment="1">
      <alignment horizontal="left" indent="1"/>
    </xf>
    <xf numFmtId="0" fontId="9" fillId="0" borderId="0" xfId="0" applyFont="1"/>
    <xf numFmtId="0" fontId="9" fillId="0" borderId="0" xfId="0" applyFont="1" applyAlignment="1">
      <alignment horizontal="right"/>
    </xf>
    <xf numFmtId="0" fontId="10" fillId="0" borderId="0" xfId="0" applyFont="1" applyAlignment="1">
      <alignment horizontal="left" vertical="center"/>
    </xf>
    <xf numFmtId="0" fontId="6" fillId="0" borderId="0" xfId="0" applyFont="1" applyAlignment="1">
      <alignment horizontal="left"/>
    </xf>
    <xf numFmtId="0" fontId="88" fillId="18" borderId="0" xfId="0" applyFont="1" applyFill="1" applyAlignment="1">
      <alignment horizontal="left" vertical="center"/>
    </xf>
    <xf numFmtId="0" fontId="104" fillId="0" borderId="51" xfId="0" applyFont="1" applyBorder="1" applyAlignment="1">
      <alignment horizontal="left" textRotation="90"/>
    </xf>
    <xf numFmtId="0" fontId="184" fillId="0" borderId="51" xfId="0" applyFont="1" applyBorder="1" applyAlignment="1">
      <alignment horizontal="right"/>
    </xf>
    <xf numFmtId="0" fontId="95" fillId="0" borderId="51" xfId="0" applyFont="1" applyBorder="1" applyAlignment="1">
      <alignment horizontal="left" vertical="center" textRotation="90"/>
    </xf>
    <xf numFmtId="0" fontId="88" fillId="18" borderId="51" xfId="0" applyFont="1" applyFill="1" applyBorder="1" applyAlignment="1">
      <alignment horizontal="left" vertical="center"/>
    </xf>
    <xf numFmtId="0" fontId="88" fillId="0" borderId="51" xfId="0" applyFont="1" applyBorder="1" applyAlignment="1">
      <alignment vertical="center"/>
    </xf>
    <xf numFmtId="0" fontId="88" fillId="0" borderId="51" xfId="0" applyFont="1" applyBorder="1" applyAlignment="1">
      <alignment horizontal="left" vertical="center"/>
    </xf>
    <xf numFmtId="0" fontId="88" fillId="0" borderId="0" xfId="0" applyFont="1" applyAlignment="1">
      <alignment vertical="top"/>
    </xf>
    <xf numFmtId="0" fontId="43" fillId="0" borderId="0" xfId="0" applyFont="1" applyAlignment="1">
      <alignment horizontal="left"/>
    </xf>
    <xf numFmtId="0" fontId="3" fillId="0" borderId="0" xfId="0" applyFont="1" applyAlignment="1">
      <alignment horizontal="left" vertical="top"/>
    </xf>
    <xf numFmtId="0" fontId="234" fillId="0" borderId="0" xfId="0" applyFont="1" applyAlignment="1">
      <alignment horizontal="left"/>
    </xf>
    <xf numFmtId="0" fontId="234" fillId="0" borderId="0" xfId="0" applyFont="1" applyAlignment="1">
      <alignment horizontal="left" vertical="top"/>
    </xf>
    <xf numFmtId="0" fontId="149" fillId="0" borderId="0" xfId="0" applyFont="1" applyAlignment="1">
      <alignment horizontal="left" vertical="center"/>
    </xf>
    <xf numFmtId="0" fontId="174" fillId="0" borderId="0" xfId="0" applyFont="1" applyAlignment="1">
      <alignment horizontal="left"/>
    </xf>
    <xf numFmtId="0" fontId="344" fillId="0" borderId="0" xfId="0" applyFont="1" applyAlignment="1">
      <alignment horizontal="left" vertical="center" wrapText="1"/>
    </xf>
    <xf numFmtId="0" fontId="73" fillId="5" borderId="0" xfId="0" applyFont="1" applyFill="1" applyAlignment="1">
      <alignment vertical="center"/>
    </xf>
    <xf numFmtId="0" fontId="111" fillId="5" borderId="0" xfId="0" applyFont="1" applyFill="1" applyAlignment="1">
      <alignment horizontal="center" vertical="center"/>
    </xf>
    <xf numFmtId="0" fontId="168" fillId="5" borderId="0" xfId="0" applyFont="1" applyFill="1" applyAlignment="1">
      <alignment vertical="center" wrapText="1"/>
    </xf>
    <xf numFmtId="0" fontId="344" fillId="5" borderId="0" xfId="0" applyFont="1" applyFill="1" applyAlignment="1">
      <alignment vertical="center" wrapText="1"/>
    </xf>
    <xf numFmtId="0" fontId="394" fillId="5" borderId="24" xfId="0" applyFont="1" applyFill="1" applyBorder="1" applyAlignment="1">
      <alignment vertical="center"/>
    </xf>
    <xf numFmtId="0" fontId="149" fillId="5" borderId="24" xfId="0" applyFont="1" applyFill="1" applyBorder="1" applyAlignment="1">
      <alignment horizontal="left" vertical="center"/>
    </xf>
    <xf numFmtId="0" fontId="168" fillId="5" borderId="24" xfId="0" applyFont="1" applyFill="1" applyBorder="1" applyAlignment="1">
      <alignment vertical="center" wrapText="1"/>
    </xf>
    <xf numFmtId="0" fontId="73" fillId="0" borderId="22" xfId="0" applyFont="1" applyBorder="1" applyAlignment="1">
      <alignment vertical="center"/>
    </xf>
    <xf numFmtId="0" fontId="385" fillId="5" borderId="0" xfId="0" applyFont="1" applyFill="1" applyAlignment="1">
      <alignment vertical="center"/>
    </xf>
    <xf numFmtId="0" fontId="74" fillId="5" borderId="0" xfId="0" applyFont="1" applyFill="1" applyAlignment="1">
      <alignment vertical="center" wrapText="1"/>
    </xf>
    <xf numFmtId="0" fontId="116" fillId="5" borderId="24" xfId="0" applyFont="1" applyFill="1" applyBorder="1" applyAlignment="1">
      <alignment horizontal="left" vertical="center"/>
    </xf>
    <xf numFmtId="0" fontId="73" fillId="5" borderId="28" xfId="0" applyFont="1" applyFill="1" applyBorder="1" applyAlignment="1">
      <alignment vertical="center"/>
    </xf>
    <xf numFmtId="0" fontId="73" fillId="5" borderId="22" xfId="0" applyFont="1" applyFill="1" applyBorder="1" applyAlignment="1">
      <alignment vertical="center"/>
    </xf>
    <xf numFmtId="0" fontId="401" fillId="0" borderId="0" xfId="0" applyFont="1" applyAlignment="1">
      <alignment horizontal="left" vertical="center" wrapText="1"/>
    </xf>
    <xf numFmtId="0" fontId="174" fillId="0" borderId="0" xfId="0" applyFont="1" applyAlignment="1">
      <alignment horizontal="left" vertical="top"/>
    </xf>
    <xf numFmtId="0" fontId="2" fillId="17" borderId="0" xfId="0" applyFont="1" applyFill="1" applyAlignment="1">
      <alignment horizontal="center" vertical="center"/>
    </xf>
    <xf numFmtId="0" fontId="12" fillId="25" borderId="237" xfId="0" applyFont="1" applyFill="1" applyBorder="1" applyAlignment="1" applyProtection="1">
      <alignment horizontal="center" vertical="center"/>
      <protection locked="0"/>
    </xf>
    <xf numFmtId="49" fontId="170" fillId="0" borderId="24" xfId="0" applyNumberFormat="1" applyFont="1" applyBorder="1" applyAlignment="1">
      <alignment horizontal="left" vertical="center"/>
    </xf>
    <xf numFmtId="0" fontId="170" fillId="0" borderId="41" xfId="0" applyFont="1" applyBorder="1" applyAlignment="1">
      <alignment horizontal="left" vertical="center"/>
    </xf>
    <xf numFmtId="0" fontId="121" fillId="0" borderId="41" xfId="0" applyFont="1" applyBorder="1" applyAlignment="1">
      <alignment horizontal="left" vertical="center"/>
    </xf>
    <xf numFmtId="0" fontId="121" fillId="0" borderId="44" xfId="0" applyFont="1" applyBorder="1" applyAlignment="1">
      <alignment horizontal="left" vertical="center"/>
    </xf>
    <xf numFmtId="0" fontId="170" fillId="2" borderId="124" xfId="0" applyFont="1" applyFill="1" applyBorder="1" applyAlignment="1">
      <alignment horizontal="left" vertical="center"/>
    </xf>
    <xf numFmtId="0" fontId="404" fillId="0" borderId="0" xfId="0" applyFont="1" applyAlignment="1">
      <alignment horizontal="left"/>
    </xf>
    <xf numFmtId="0" fontId="404" fillId="0" borderId="0" xfId="0" applyFont="1" applyAlignment="1">
      <alignment vertical="center"/>
    </xf>
    <xf numFmtId="0" fontId="261" fillId="0" borderId="0" xfId="0" applyFont="1" applyAlignment="1">
      <alignment horizontal="right" vertical="center"/>
    </xf>
    <xf numFmtId="0" fontId="362" fillId="0" borderId="51" xfId="0" applyFont="1" applyBorder="1" applyAlignment="1">
      <alignment horizontal="center" vertical="top" textRotation="90"/>
    </xf>
    <xf numFmtId="0" fontId="47" fillId="22" borderId="0" xfId="0" applyFont="1" applyFill="1" applyAlignment="1">
      <alignment vertical="center"/>
    </xf>
    <xf numFmtId="0" fontId="5" fillId="22" borderId="0" xfId="0" applyFont="1" applyFill="1" applyAlignment="1">
      <alignment vertical="center"/>
    </xf>
    <xf numFmtId="0" fontId="92" fillId="0" borderId="95" xfId="0" applyFont="1" applyBorder="1" applyAlignment="1">
      <alignment vertical="center"/>
    </xf>
    <xf numFmtId="0" fontId="92" fillId="0" borderId="111" xfId="0" applyFont="1" applyBorder="1" applyAlignment="1">
      <alignment vertical="center"/>
    </xf>
    <xf numFmtId="0" fontId="120" fillId="0" borderId="0" xfId="0" applyFont="1" applyAlignment="1">
      <alignment horizontal="right" vertical="center"/>
    </xf>
    <xf numFmtId="172" fontId="159" fillId="25" borderId="47" xfId="0" applyNumberFormat="1" applyFont="1" applyFill="1" applyBorder="1" applyAlignment="1" applyProtection="1">
      <alignment horizontal="center" vertical="center"/>
      <protection locked="0"/>
    </xf>
    <xf numFmtId="0" fontId="3" fillId="0" borderId="61" xfId="0" applyFont="1" applyBorder="1" applyAlignment="1">
      <alignment vertical="center"/>
    </xf>
    <xf numFmtId="0" fontId="73" fillId="0" borderId="111" xfId="0" applyFont="1" applyBorder="1" applyAlignment="1">
      <alignment vertical="center"/>
    </xf>
    <xf numFmtId="0" fontId="120" fillId="0" borderId="111" xfId="0" applyFont="1" applyBorder="1" applyAlignment="1">
      <alignment horizontal="right" vertical="center"/>
    </xf>
    <xf numFmtId="189" fontId="159" fillId="25" borderId="137" xfId="0" applyNumberFormat="1" applyFont="1" applyFill="1" applyBorder="1" applyAlignment="1" applyProtection="1">
      <alignment horizontal="center" vertical="center"/>
      <protection locked="0"/>
    </xf>
    <xf numFmtId="0" fontId="73" fillId="0" borderId="61" xfId="0" applyFont="1" applyBorder="1" applyAlignment="1">
      <alignment vertical="center"/>
    </xf>
    <xf numFmtId="0" fontId="31" fillId="0" borderId="136" xfId="0" applyFont="1" applyBorder="1" applyAlignment="1">
      <alignment vertical="center"/>
    </xf>
    <xf numFmtId="0" fontId="31" fillId="0" borderId="51" xfId="0" applyFont="1" applyBorder="1" applyAlignment="1">
      <alignment vertical="center"/>
    </xf>
    <xf numFmtId="0" fontId="120" fillId="0" borderId="116" xfId="0" applyFont="1" applyBorder="1" applyAlignment="1">
      <alignment horizontal="right" vertical="center"/>
    </xf>
    <xf numFmtId="171" fontId="159" fillId="25" borderId="61" xfId="0" applyNumberFormat="1" applyFont="1" applyFill="1" applyBorder="1" applyAlignment="1" applyProtection="1">
      <alignment horizontal="center" vertical="center"/>
      <protection locked="0"/>
    </xf>
    <xf numFmtId="0" fontId="120" fillId="0" borderId="217" xfId="0" applyFont="1" applyBorder="1" applyAlignment="1">
      <alignment horizontal="left" vertical="center"/>
    </xf>
    <xf numFmtId="0" fontId="321" fillId="0" borderId="8" xfId="0" applyFont="1" applyBorder="1" applyAlignment="1">
      <alignment horizontal="center"/>
    </xf>
    <xf numFmtId="0" fontId="180" fillId="0" borderId="8" xfId="0" applyFont="1" applyBorder="1" applyAlignment="1">
      <alignment horizontal="right" vertical="center"/>
    </xf>
    <xf numFmtId="0" fontId="3" fillId="0" borderId="8" xfId="0" applyFont="1" applyBorder="1" applyAlignment="1">
      <alignment vertical="center"/>
    </xf>
    <xf numFmtId="0" fontId="5" fillId="0" borderId="8" xfId="0" applyFont="1" applyBorder="1" applyAlignment="1">
      <alignment vertical="center"/>
    </xf>
    <xf numFmtId="171" fontId="405" fillId="25" borderId="8" xfId="0" applyNumberFormat="1" applyFont="1" applyFill="1" applyBorder="1" applyAlignment="1">
      <alignment horizontal="center" vertical="center"/>
    </xf>
    <xf numFmtId="0" fontId="180" fillId="0" borderId="8" xfId="0" applyFont="1" applyBorder="1" applyAlignment="1">
      <alignment vertical="center"/>
    </xf>
    <xf numFmtId="0" fontId="120" fillId="0" borderId="8" xfId="0" applyFont="1" applyBorder="1" applyAlignment="1">
      <alignment horizontal="left" vertical="center"/>
    </xf>
    <xf numFmtId="0" fontId="406" fillId="0" borderId="0" xfId="1" applyFont="1" applyFill="1" applyAlignment="1" applyProtection="1">
      <alignment horizontal="left" vertical="center"/>
    </xf>
    <xf numFmtId="0" fontId="367" fillId="0" borderId="0" xfId="0" applyFont="1" applyAlignment="1">
      <alignment horizontal="right" vertical="center"/>
    </xf>
    <xf numFmtId="0" fontId="404" fillId="6" borderId="169" xfId="0" applyFont="1" applyFill="1" applyBorder="1" applyAlignment="1">
      <alignment horizontal="left"/>
    </xf>
    <xf numFmtId="0" fontId="73" fillId="8" borderId="181" xfId="0" applyFont="1" applyFill="1" applyBorder="1" applyAlignment="1">
      <alignment vertical="center"/>
    </xf>
    <xf numFmtId="0" fontId="91" fillId="6" borderId="24" xfId="0" applyFont="1" applyFill="1" applyBorder="1" applyAlignment="1">
      <alignment horizontal="right" vertical="center"/>
    </xf>
    <xf numFmtId="0" fontId="91" fillId="8" borderId="24" xfId="0" applyFont="1" applyFill="1" applyBorder="1" applyAlignment="1">
      <alignment horizontal="left" vertical="center"/>
    </xf>
    <xf numFmtId="0" fontId="169" fillId="6" borderId="0" xfId="0" applyFont="1" applyFill="1" applyAlignment="1">
      <alignment horizontal="right"/>
    </xf>
    <xf numFmtId="0" fontId="9" fillId="0" borderId="45" xfId="0" applyFont="1" applyBorder="1" applyAlignment="1">
      <alignment horizontal="center" vertical="center" wrapText="1"/>
    </xf>
    <xf numFmtId="0" fontId="169" fillId="8" borderId="0" xfId="0" applyFont="1" applyFill="1" applyAlignment="1">
      <alignment horizontal="right" vertical="center"/>
    </xf>
    <xf numFmtId="0" fontId="158" fillId="8" borderId="0" xfId="0" applyFont="1" applyFill="1" applyAlignment="1">
      <alignment horizontal="right" vertical="center"/>
    </xf>
    <xf numFmtId="0" fontId="192" fillId="0" borderId="0" xfId="0" applyFont="1" applyAlignment="1">
      <alignment horizontal="left"/>
    </xf>
    <xf numFmtId="0" fontId="16" fillId="0" borderId="24" xfId="0" applyFont="1" applyBorder="1" applyAlignment="1" applyProtection="1">
      <alignment horizontal="left" vertical="center"/>
      <protection locked="0"/>
    </xf>
    <xf numFmtId="0" fontId="112" fillId="0" borderId="24" xfId="0" applyFont="1" applyBorder="1" applyAlignment="1" applyProtection="1">
      <alignment horizontal="left"/>
      <protection locked="0"/>
    </xf>
    <xf numFmtId="0" fontId="112" fillId="0" borderId="22" xfId="0" applyFont="1" applyBorder="1" applyAlignment="1" applyProtection="1">
      <alignment horizontal="left" wrapText="1"/>
      <protection locked="0"/>
    </xf>
    <xf numFmtId="0" fontId="407" fillId="0" borderId="0" xfId="0" applyFont="1" applyAlignment="1">
      <alignment horizontal="right" vertical="top"/>
    </xf>
    <xf numFmtId="0" fontId="73" fillId="5" borderId="51" xfId="0" applyFont="1" applyFill="1" applyBorder="1" applyAlignment="1">
      <alignment vertical="center"/>
    </xf>
    <xf numFmtId="0" fontId="396" fillId="5" borderId="51" xfId="0" applyFont="1" applyFill="1" applyBorder="1" applyAlignment="1">
      <alignment horizontal="right" vertical="center"/>
    </xf>
    <xf numFmtId="0" fontId="15" fillId="5" borderId="51" xfId="0" applyFont="1" applyFill="1" applyBorder="1" applyAlignment="1">
      <alignment vertical="center"/>
    </xf>
    <xf numFmtId="0" fontId="15" fillId="5" borderId="44" xfId="0" applyFont="1" applyFill="1" applyBorder="1" applyAlignment="1">
      <alignment vertical="center"/>
    </xf>
    <xf numFmtId="0" fontId="15" fillId="18" borderId="51" xfId="0" applyFont="1" applyFill="1" applyBorder="1" applyAlignment="1">
      <alignment vertical="center"/>
    </xf>
    <xf numFmtId="0" fontId="15" fillId="18" borderId="0" xfId="0" applyFont="1" applyFill="1" applyAlignment="1">
      <alignment vertical="center"/>
    </xf>
    <xf numFmtId="0" fontId="94" fillId="18" borderId="0" xfId="0" applyFont="1" applyFill="1" applyAlignment="1">
      <alignment vertical="center" wrapText="1"/>
    </xf>
    <xf numFmtId="0" fontId="73" fillId="18" borderId="0" xfId="0" applyFont="1" applyFill="1" applyAlignment="1">
      <alignment vertical="center"/>
    </xf>
    <xf numFmtId="0" fontId="73" fillId="18" borderId="28" xfId="0" applyFont="1" applyFill="1" applyBorder="1" applyAlignment="1">
      <alignment vertical="center"/>
    </xf>
    <xf numFmtId="0" fontId="396" fillId="18" borderId="51" xfId="0" applyFont="1" applyFill="1" applyBorder="1" applyAlignment="1">
      <alignment horizontal="right" vertical="center"/>
    </xf>
    <xf numFmtId="0" fontId="385" fillId="18" borderId="0" xfId="0" applyFont="1" applyFill="1" applyAlignment="1">
      <alignment horizontal="left"/>
    </xf>
    <xf numFmtId="0" fontId="180" fillId="18" borderId="0" xfId="0" applyFont="1" applyFill="1" applyAlignment="1">
      <alignment vertical="center" wrapText="1"/>
    </xf>
    <xf numFmtId="0" fontId="92" fillId="18" borderId="0" xfId="0" applyFont="1" applyFill="1" applyAlignment="1">
      <alignment vertical="center"/>
    </xf>
    <xf numFmtId="0" fontId="385" fillId="18" borderId="0" xfId="0" applyFont="1" applyFill="1"/>
    <xf numFmtId="49" fontId="115" fillId="18" borderId="0" xfId="0" applyNumberFormat="1" applyFont="1" applyFill="1" applyAlignment="1">
      <alignment horizontal="center" vertical="center"/>
    </xf>
    <xf numFmtId="0" fontId="170" fillId="18" borderId="0" xfId="0" applyFont="1" applyFill="1" applyAlignment="1">
      <alignment horizontal="right"/>
    </xf>
    <xf numFmtId="182" fontId="112" fillId="18" borderId="28" xfId="0" applyNumberFormat="1" applyFont="1" applyFill="1" applyBorder="1" applyAlignment="1">
      <alignment horizontal="center"/>
    </xf>
    <xf numFmtId="0" fontId="15" fillId="18" borderId="44" xfId="0" applyFont="1" applyFill="1" applyBorder="1" applyAlignment="1">
      <alignment vertical="center"/>
    </xf>
    <xf numFmtId="0" fontId="385" fillId="18" borderId="24" xfId="0" applyFont="1" applyFill="1" applyBorder="1"/>
    <xf numFmtId="0" fontId="15" fillId="18" borderId="24" xfId="0" applyFont="1" applyFill="1" applyBorder="1" applyAlignment="1">
      <alignment vertical="center"/>
    </xf>
    <xf numFmtId="0" fontId="73" fillId="18" borderId="24" xfId="0" applyFont="1" applyFill="1" applyBorder="1" applyAlignment="1">
      <alignment vertical="center"/>
    </xf>
    <xf numFmtId="49" fontId="115" fillId="18" borderId="24" xfId="0" applyNumberFormat="1" applyFont="1" applyFill="1" applyBorder="1" applyAlignment="1">
      <alignment horizontal="center" vertical="center"/>
    </xf>
    <xf numFmtId="0" fontId="110" fillId="18" borderId="24" xfId="0" applyFont="1" applyFill="1" applyBorder="1" applyAlignment="1">
      <alignment horizontal="left" vertical="center"/>
    </xf>
    <xf numFmtId="0" fontId="110" fillId="18" borderId="22" xfId="0" applyFont="1" applyFill="1" applyBorder="1" applyAlignment="1">
      <alignment horizontal="left" vertical="center" wrapText="1"/>
    </xf>
    <xf numFmtId="0" fontId="168" fillId="5" borderId="28" xfId="0" applyFont="1" applyFill="1" applyBorder="1" applyAlignment="1">
      <alignment vertical="center" wrapText="1"/>
    </xf>
    <xf numFmtId="0" fontId="73" fillId="34" borderId="37" xfId="0" applyFont="1" applyFill="1" applyBorder="1" applyAlignment="1">
      <alignment vertical="center"/>
    </xf>
    <xf numFmtId="0" fontId="73" fillId="19" borderId="124" xfId="0" applyFont="1" applyFill="1" applyBorder="1" applyAlignment="1">
      <alignment vertical="center"/>
    </xf>
    <xf numFmtId="0" fontId="396" fillId="19" borderId="51" xfId="0" applyFont="1" applyFill="1" applyBorder="1" applyAlignment="1">
      <alignment horizontal="right" vertical="center"/>
    </xf>
    <xf numFmtId="0" fontId="398" fillId="19" borderId="51" xfId="0" applyFont="1" applyFill="1" applyBorder="1" applyAlignment="1">
      <alignment vertical="center"/>
    </xf>
    <xf numFmtId="0" fontId="73" fillId="19" borderId="44" xfId="0" applyFont="1" applyFill="1" applyBorder="1" applyAlignment="1">
      <alignment vertical="center"/>
    </xf>
    <xf numFmtId="0" fontId="73" fillId="19" borderId="45" xfId="0" applyFont="1" applyFill="1" applyBorder="1" applyAlignment="1">
      <alignment vertical="center"/>
    </xf>
    <xf numFmtId="0" fontId="106" fillId="19" borderId="45" xfId="0" applyFont="1" applyFill="1" applyBorder="1" applyAlignment="1">
      <alignment horizontal="center" vertical="center" wrapText="1"/>
    </xf>
    <xf numFmtId="49" fontId="106" fillId="19" borderId="45" xfId="0" applyNumberFormat="1" applyFont="1" applyFill="1" applyBorder="1" applyAlignment="1">
      <alignment horizontal="center" vertical="center"/>
    </xf>
    <xf numFmtId="0" fontId="73" fillId="19" borderId="92" xfId="0" applyFont="1" applyFill="1" applyBorder="1" applyAlignment="1">
      <alignment vertical="center"/>
    </xf>
    <xf numFmtId="0" fontId="385" fillId="19" borderId="0" xfId="0" applyFont="1" applyFill="1" applyAlignment="1">
      <alignment vertical="center"/>
    </xf>
    <xf numFmtId="172" fontId="12" fillId="19" borderId="0" xfId="0" applyNumberFormat="1" applyFont="1" applyFill="1" applyAlignment="1">
      <alignment horizontal="center" vertical="center"/>
    </xf>
    <xf numFmtId="0" fontId="73" fillId="19" borderId="0" xfId="0" applyFont="1" applyFill="1" applyAlignment="1">
      <alignment vertical="center"/>
    </xf>
    <xf numFmtId="0" fontId="106" fillId="19" borderId="0" xfId="0" applyFont="1" applyFill="1" applyAlignment="1">
      <alignment horizontal="center" vertical="center" wrapText="1"/>
    </xf>
    <xf numFmtId="49" fontId="106" fillId="19" borderId="0" xfId="0" applyNumberFormat="1" applyFont="1" applyFill="1" applyAlignment="1">
      <alignment horizontal="center" vertical="center"/>
    </xf>
    <xf numFmtId="0" fontId="73" fillId="19" borderId="28" xfId="0" applyFont="1" applyFill="1" applyBorder="1" applyAlignment="1">
      <alignment vertical="center"/>
    </xf>
    <xf numFmtId="171" fontId="12" fillId="19" borderId="0" xfId="0" applyNumberFormat="1" applyFont="1" applyFill="1" applyAlignment="1">
      <alignment horizontal="center" vertical="center"/>
    </xf>
    <xf numFmtId="0" fontId="15" fillId="19" borderId="24" xfId="0" applyFont="1" applyFill="1" applyBorder="1" applyAlignment="1">
      <alignment vertical="center"/>
    </xf>
    <xf numFmtId="178" fontId="199" fillId="19" borderId="24" xfId="0" applyNumberFormat="1" applyFont="1" applyFill="1" applyBorder="1" applyAlignment="1">
      <alignment horizontal="center" vertical="center"/>
    </xf>
    <xf numFmtId="0" fontId="73" fillId="19" borderId="24" xfId="0" applyFont="1" applyFill="1" applyBorder="1" applyAlignment="1">
      <alignment vertical="center"/>
    </xf>
    <xf numFmtId="0" fontId="106" fillId="19" borderId="24" xfId="0" applyFont="1" applyFill="1" applyBorder="1" applyAlignment="1">
      <alignment horizontal="center" vertical="center" wrapText="1"/>
    </xf>
    <xf numFmtId="0" fontId="106" fillId="19" borderId="24" xfId="0" applyFont="1" applyFill="1" applyBorder="1" applyAlignment="1">
      <alignment horizontal="center" vertical="center"/>
    </xf>
    <xf numFmtId="0" fontId="73" fillId="19" borderId="22" xfId="0" applyFont="1" applyFill="1" applyBorder="1" applyAlignment="1">
      <alignment vertical="center"/>
    </xf>
    <xf numFmtId="0" fontId="222" fillId="6" borderId="51" xfId="0" applyFont="1" applyFill="1" applyBorder="1" applyAlignment="1">
      <alignment vertical="center"/>
    </xf>
    <xf numFmtId="0" fontId="92" fillId="0" borderId="109" xfId="0" applyFont="1" applyBorder="1" applyAlignment="1">
      <alignment vertical="center"/>
    </xf>
    <xf numFmtId="0" fontId="92" fillId="0" borderId="79" xfId="0" applyFont="1" applyBorder="1" applyAlignment="1">
      <alignment vertical="center"/>
    </xf>
    <xf numFmtId="0" fontId="142" fillId="0" borderId="0" xfId="0" applyFont="1" applyAlignment="1">
      <alignment vertical="center"/>
    </xf>
    <xf numFmtId="0" fontId="141" fillId="0" borderId="0" xfId="0" applyFont="1" applyAlignment="1">
      <alignment horizontal="right" vertical="center"/>
    </xf>
    <xf numFmtId="192" fontId="141" fillId="0" borderId="0" xfId="0" applyNumberFormat="1" applyFont="1" applyAlignment="1">
      <alignment horizontal="left" vertical="center"/>
    </xf>
    <xf numFmtId="0" fontId="15" fillId="0" borderId="0" xfId="0" applyFont="1" applyAlignment="1">
      <alignment horizontal="right" vertical="center"/>
    </xf>
    <xf numFmtId="0" fontId="16" fillId="0" borderId="0" xfId="0" applyFont="1" applyAlignment="1">
      <alignment horizontal="left" vertical="center"/>
    </xf>
    <xf numFmtId="0" fontId="410" fillId="0" borderId="0" xfId="0" applyFont="1" applyAlignment="1">
      <alignment vertical="center"/>
    </xf>
    <xf numFmtId="0" fontId="411" fillId="0" borderId="0" xfId="0" applyFont="1" applyAlignment="1">
      <alignment vertical="center"/>
    </xf>
    <xf numFmtId="0" fontId="412" fillId="0" borderId="0" xfId="0" applyFont="1" applyAlignment="1">
      <alignment vertical="center"/>
    </xf>
    <xf numFmtId="0" fontId="261" fillId="0" borderId="51" xfId="0" applyFont="1" applyBorder="1" applyAlignment="1">
      <alignment horizontal="right"/>
    </xf>
    <xf numFmtId="192" fontId="408" fillId="0" borderId="0" xfId="0" applyNumberFormat="1" applyFont="1"/>
    <xf numFmtId="0" fontId="264" fillId="0" borderId="0" xfId="0" applyFont="1" applyAlignment="1">
      <alignment horizontal="center" vertical="top"/>
    </xf>
    <xf numFmtId="0" fontId="264" fillId="0" borderId="0" xfId="0" applyFont="1" applyAlignment="1">
      <alignment horizontal="left" vertical="top"/>
    </xf>
    <xf numFmtId="0" fontId="147" fillId="0" borderId="45" xfId="0" applyFont="1" applyBorder="1" applyAlignment="1">
      <alignment vertical="center"/>
    </xf>
    <xf numFmtId="0" fontId="273" fillId="0" borderId="92" xfId="0" applyFont="1" applyBorder="1" applyAlignment="1">
      <alignment vertical="center"/>
    </xf>
    <xf numFmtId="0" fontId="15" fillId="0" borderId="0" xfId="0" applyFont="1" applyAlignment="1">
      <alignment horizontal="left" vertical="center"/>
    </xf>
    <xf numFmtId="192" fontId="264" fillId="0" borderId="22" xfId="0" applyNumberFormat="1" applyFont="1" applyBorder="1" applyAlignment="1">
      <alignment vertical="center"/>
    </xf>
    <xf numFmtId="192" fontId="264" fillId="0" borderId="93" xfId="0" applyNumberFormat="1" applyFont="1" applyBorder="1" applyAlignment="1">
      <alignment vertical="center"/>
    </xf>
    <xf numFmtId="0" fontId="278" fillId="0" borderId="124" xfId="0" applyFont="1" applyBorder="1" applyAlignment="1">
      <alignment vertical="center"/>
    </xf>
    <xf numFmtId="0" fontId="278" fillId="0" borderId="45" xfId="0" applyFont="1" applyBorder="1" applyAlignment="1">
      <alignment vertical="center"/>
    </xf>
    <xf numFmtId="0" fontId="282" fillId="0" borderId="20" xfId="0" applyFont="1" applyBorder="1" applyAlignment="1">
      <alignment horizontal="right" vertical="center"/>
    </xf>
    <xf numFmtId="0" fontId="278" fillId="0" borderId="20" xfId="0" applyFont="1" applyBorder="1" applyAlignment="1">
      <alignment horizontal="center" vertical="center"/>
    </xf>
    <xf numFmtId="0" fontId="282" fillId="0" borderId="45" xfId="0" applyFont="1" applyBorder="1" applyAlignment="1">
      <alignment vertical="center"/>
    </xf>
    <xf numFmtId="0" fontId="278" fillId="0" borderId="40" xfId="0" applyFont="1" applyBorder="1" applyAlignment="1">
      <alignment horizontal="left" vertical="center"/>
    </xf>
    <xf numFmtId="0" fontId="278" fillId="0" borderId="3" xfId="0" applyFont="1" applyBorder="1" applyAlignment="1">
      <alignment horizontal="center" vertical="center"/>
    </xf>
    <xf numFmtId="0" fontId="278" fillId="0" borderId="19" xfId="0" applyFont="1" applyBorder="1" applyAlignment="1">
      <alignment horizontal="center" vertical="center"/>
    </xf>
    <xf numFmtId="0" fontId="282" fillId="0" borderId="31" xfId="0" applyFont="1" applyBorder="1" applyAlignment="1">
      <alignment horizontal="right" vertical="center"/>
    </xf>
    <xf numFmtId="0" fontId="278" fillId="0" borderId="31" xfId="0" applyFont="1" applyBorder="1" applyAlignment="1">
      <alignment horizontal="center" vertical="center"/>
    </xf>
    <xf numFmtId="0" fontId="282" fillId="0" borderId="21" xfId="0" applyFont="1" applyBorder="1" applyAlignment="1">
      <alignment horizontal="left" vertical="center"/>
    </xf>
    <xf numFmtId="0" fontId="278" fillId="0" borderId="24" xfId="0" applyFont="1" applyBorder="1" applyAlignment="1">
      <alignment horizontal="center" vertical="center"/>
    </xf>
    <xf numFmtId="0" fontId="278" fillId="0" borderId="11" xfId="0" applyFont="1" applyBorder="1" applyAlignment="1">
      <alignment horizontal="center" vertical="center"/>
    </xf>
    <xf numFmtId="0" fontId="282" fillId="0" borderId="7" xfId="0" applyFont="1" applyBorder="1" applyAlignment="1">
      <alignment horizontal="right" vertical="center"/>
    </xf>
    <xf numFmtId="0" fontId="282" fillId="0" borderId="9" xfId="0" applyFont="1" applyBorder="1" applyAlignment="1">
      <alignment horizontal="left" vertical="center"/>
    </xf>
    <xf numFmtId="0" fontId="278" fillId="0" borderId="44" xfId="0" applyFont="1" applyBorder="1" applyAlignment="1">
      <alignment vertical="center"/>
    </xf>
    <xf numFmtId="0" fontId="278" fillId="0" borderId="24" xfId="0" applyFont="1" applyBorder="1" applyAlignment="1">
      <alignment vertical="center"/>
    </xf>
    <xf numFmtId="0" fontId="278" fillId="0" borderId="25" xfId="0" applyFont="1" applyBorder="1" applyAlignment="1">
      <alignment vertical="center"/>
    </xf>
    <xf numFmtId="0" fontId="282" fillId="0" borderId="26" xfId="0" applyFont="1" applyBorder="1" applyAlignment="1">
      <alignment horizontal="right" vertical="center"/>
    </xf>
    <xf numFmtId="0" fontId="278" fillId="0" borderId="26" xfId="0" applyFont="1" applyBorder="1" applyAlignment="1">
      <alignment horizontal="center" vertical="center"/>
    </xf>
    <xf numFmtId="0" fontId="416" fillId="0" borderId="27" xfId="0" applyFont="1" applyBorder="1" applyAlignment="1">
      <alignment vertical="center"/>
    </xf>
    <xf numFmtId="0" fontId="278" fillId="0" borderId="51" xfId="0" applyFont="1" applyBorder="1" applyAlignment="1">
      <alignment vertical="center"/>
    </xf>
    <xf numFmtId="0" fontId="282" fillId="0" borderId="0" xfId="0" applyFont="1" applyAlignment="1">
      <alignment horizontal="right" vertical="center"/>
    </xf>
    <xf numFmtId="0" fontId="278" fillId="0" borderId="128" xfId="0" applyFont="1" applyBorder="1" applyAlignment="1">
      <alignment horizontal="center" vertical="center"/>
    </xf>
    <xf numFmtId="0" fontId="416" fillId="0" borderId="0" xfId="0" applyFont="1" applyAlignment="1">
      <alignment vertical="center"/>
    </xf>
    <xf numFmtId="0" fontId="278" fillId="0" borderId="40" xfId="0" applyFont="1" applyBorder="1" applyAlignment="1">
      <alignment vertical="center"/>
    </xf>
    <xf numFmtId="0" fontId="278" fillId="0" borderId="19" xfId="0" applyFont="1" applyBorder="1" applyAlignment="1">
      <alignment vertical="center"/>
    </xf>
    <xf numFmtId="2" fontId="278" fillId="0" borderId="31" xfId="0" applyNumberFormat="1" applyFont="1" applyBorder="1" applyAlignment="1">
      <alignment horizontal="center" vertical="center"/>
    </xf>
    <xf numFmtId="0" fontId="278" fillId="0" borderId="24" xfId="0" applyFont="1" applyBorder="1" applyAlignment="1">
      <alignment horizontal="left" vertical="center"/>
    </xf>
    <xf numFmtId="0" fontId="278" fillId="0" borderId="25" xfId="0" applyFont="1" applyBorder="1" applyAlignment="1">
      <alignment horizontal="right" vertical="center"/>
    </xf>
    <xf numFmtId="0" fontId="278" fillId="0" borderId="27" xfId="0" applyFont="1" applyBorder="1" applyAlignment="1">
      <alignment horizontal="right" vertical="center"/>
    </xf>
    <xf numFmtId="0" fontId="282" fillId="0" borderId="27" xfId="0" applyFont="1" applyBorder="1" applyAlignment="1">
      <alignment vertical="center"/>
    </xf>
    <xf numFmtId="0" fontId="302" fillId="0" borderId="135" xfId="0" applyFont="1" applyBorder="1" applyAlignment="1">
      <alignment horizontal="right" vertical="center"/>
    </xf>
    <xf numFmtId="0" fontId="278" fillId="0" borderId="14" xfId="0" applyFont="1" applyBorder="1" applyAlignment="1">
      <alignment horizontal="right" vertical="center"/>
    </xf>
    <xf numFmtId="0" fontId="278" fillId="0" borderId="2" xfId="0" applyFont="1" applyBorder="1" applyAlignment="1">
      <alignment horizontal="center" vertical="center"/>
    </xf>
    <xf numFmtId="0" fontId="282" fillId="0" borderId="14" xfId="0" applyFont="1" applyBorder="1" applyAlignment="1">
      <alignment horizontal="left" vertical="center"/>
    </xf>
    <xf numFmtId="0" fontId="302" fillId="0" borderId="25" xfId="0" applyFont="1" applyBorder="1" applyAlignment="1">
      <alignment horizontal="right" vertical="center"/>
    </xf>
    <xf numFmtId="0" fontId="278" fillId="0" borderId="9" xfId="0" applyFont="1" applyBorder="1" applyAlignment="1">
      <alignment horizontal="right" vertical="center"/>
    </xf>
    <xf numFmtId="0" fontId="278" fillId="0" borderId="7" xfId="0" applyFont="1" applyBorder="1" applyAlignment="1">
      <alignment horizontal="center" vertical="center"/>
    </xf>
    <xf numFmtId="0" fontId="278" fillId="0" borderId="41" xfId="0" applyFont="1" applyBorder="1" applyAlignment="1">
      <alignment vertical="center"/>
    </xf>
    <xf numFmtId="0" fontId="278" fillId="0" borderId="17" xfId="0" applyFont="1" applyBorder="1" applyAlignment="1">
      <alignment vertical="center"/>
    </xf>
    <xf numFmtId="0" fontId="282" fillId="0" borderId="17" xfId="0" applyFont="1" applyBorder="1" applyAlignment="1">
      <alignment horizontal="right" vertical="center"/>
    </xf>
    <xf numFmtId="0" fontId="416" fillId="0" borderId="17" xfId="0" applyFont="1" applyBorder="1" applyAlignment="1">
      <alignment vertical="center"/>
    </xf>
    <xf numFmtId="2" fontId="264" fillId="0" borderId="30" xfId="0" applyNumberFormat="1" applyFont="1" applyBorder="1" applyAlignment="1">
      <alignment horizontal="center" vertical="center"/>
    </xf>
    <xf numFmtId="194" fontId="264" fillId="0" borderId="22" xfId="0" applyNumberFormat="1" applyFont="1" applyBorder="1" applyAlignment="1">
      <alignment horizontal="left" vertical="center"/>
    </xf>
    <xf numFmtId="165" fontId="278" fillId="0" borderId="7" xfId="0" applyNumberFormat="1" applyFont="1" applyBorder="1" applyAlignment="1">
      <alignment horizontal="center" vertical="center"/>
    </xf>
    <xf numFmtId="0" fontId="73" fillId="0" borderId="25" xfId="0" applyFont="1" applyBorder="1" applyAlignment="1">
      <alignment vertical="center"/>
    </xf>
    <xf numFmtId="0" fontId="141" fillId="0" borderId="0" xfId="0" quotePrefix="1" applyFont="1" applyAlignment="1">
      <alignment vertical="top"/>
    </xf>
    <xf numFmtId="2" fontId="264" fillId="0" borderId="22" xfId="0" applyNumberFormat="1" applyFont="1" applyBorder="1" applyAlignment="1">
      <alignment horizontal="center" vertical="center"/>
    </xf>
    <xf numFmtId="0" fontId="264" fillId="0" borderId="135" xfId="0" applyFont="1" applyBorder="1" applyAlignment="1">
      <alignment horizontal="right" vertical="center"/>
    </xf>
    <xf numFmtId="0" fontId="264" fillId="0" borderId="45" xfId="0" applyFont="1" applyBorder="1" applyAlignment="1">
      <alignment horizontal="center" vertical="center"/>
    </xf>
    <xf numFmtId="0" fontId="264" fillId="0" borderId="110" xfId="0" applyFont="1" applyBorder="1" applyAlignment="1">
      <alignment horizontal="center" vertical="center"/>
    </xf>
    <xf numFmtId="2" fontId="264" fillId="0" borderId="83" xfId="0" applyNumberFormat="1" applyFont="1" applyBorder="1" applyAlignment="1">
      <alignment horizontal="center" vertical="center"/>
    </xf>
    <xf numFmtId="0" fontId="73" fillId="0" borderId="93" xfId="0" applyFont="1" applyBorder="1" applyAlignment="1">
      <alignment vertical="center"/>
    </xf>
    <xf numFmtId="0" fontId="73" fillId="0" borderId="3" xfId="0" applyFont="1" applyBorder="1" applyAlignment="1">
      <alignment vertical="center"/>
    </xf>
    <xf numFmtId="0" fontId="73" fillId="0" borderId="19" xfId="0" applyFont="1" applyBorder="1" applyAlignment="1">
      <alignment vertical="center"/>
    </xf>
    <xf numFmtId="0" fontId="271" fillId="0" borderId="93" xfId="0" applyFont="1" applyBorder="1" applyAlignment="1">
      <alignment horizontal="center" vertical="center"/>
    </xf>
    <xf numFmtId="165" fontId="271" fillId="0" borderId="75" xfId="0" applyNumberFormat="1" applyFont="1" applyBorder="1" applyAlignment="1">
      <alignment horizontal="center" vertical="center"/>
    </xf>
    <xf numFmtId="0" fontId="418" fillId="0" borderId="0" xfId="1" applyFont="1" applyFill="1" applyAlignment="1" applyProtection="1">
      <alignment horizontal="left"/>
    </xf>
    <xf numFmtId="0" fontId="264" fillId="0" borderId="94" xfId="0" applyFont="1" applyBorder="1" applyAlignment="1">
      <alignment horizontal="center" vertical="center" wrapText="1"/>
    </xf>
    <xf numFmtId="0" fontId="264" fillId="0" borderId="42" xfId="0" applyFont="1" applyBorder="1" applyAlignment="1">
      <alignment horizontal="left" vertical="center" wrapText="1"/>
    </xf>
    <xf numFmtId="0" fontId="271" fillId="19" borderId="56" xfId="0" applyFont="1" applyFill="1" applyBorder="1" applyAlignment="1">
      <alignment horizontal="center"/>
    </xf>
    <xf numFmtId="0" fontId="302" fillId="0" borderId="12" xfId="0" applyFont="1" applyBorder="1" applyAlignment="1">
      <alignment horizontal="center" vertical="center" wrapText="1"/>
    </xf>
    <xf numFmtId="0" fontId="271" fillId="0" borderId="7" xfId="0" applyFont="1" applyBorder="1" applyAlignment="1">
      <alignment horizontal="center" vertical="center"/>
    </xf>
    <xf numFmtId="0" fontId="271" fillId="0" borderId="1" xfId="0" applyFont="1" applyBorder="1" applyAlignment="1">
      <alignment vertical="center"/>
    </xf>
    <xf numFmtId="0" fontId="264" fillId="0" borderId="7" xfId="0" applyFont="1" applyBorder="1" applyAlignment="1">
      <alignment vertical="center"/>
    </xf>
    <xf numFmtId="165" fontId="264" fillId="0" borderId="30" xfId="0" applyNumberFormat="1" applyFont="1" applyBorder="1" applyAlignment="1">
      <alignment horizontal="center" vertical="center"/>
    </xf>
    <xf numFmtId="0" fontId="417" fillId="0" borderId="21" xfId="0" applyFont="1" applyBorder="1" applyAlignment="1">
      <alignment horizontal="left" vertical="center"/>
    </xf>
    <xf numFmtId="181" fontId="358" fillId="0" borderId="11" xfId="0" applyNumberFormat="1" applyFont="1" applyBorder="1" applyAlignment="1">
      <alignment horizontal="left" vertical="center"/>
    </xf>
    <xf numFmtId="195" fontId="167" fillId="27" borderId="1" xfId="0" applyNumberFormat="1" applyFont="1" applyFill="1" applyBorder="1" applyAlignment="1" applyProtection="1">
      <alignment horizontal="center" vertical="center"/>
      <protection locked="0"/>
    </xf>
    <xf numFmtId="172" fontId="106" fillId="27" borderId="26" xfId="0" applyNumberFormat="1" applyFont="1" applyFill="1" applyBorder="1" applyAlignment="1" applyProtection="1">
      <alignment horizontal="center" vertical="center"/>
      <protection locked="0"/>
    </xf>
    <xf numFmtId="171" fontId="171" fillId="27" borderId="20" xfId="0" applyNumberFormat="1" applyFont="1" applyFill="1" applyBorder="1" applyAlignment="1" applyProtection="1">
      <alignment horizontal="center" vertical="center"/>
      <protection locked="0"/>
    </xf>
    <xf numFmtId="0" fontId="419" fillId="0" borderId="0" xfId="0" applyFont="1"/>
    <xf numFmtId="0" fontId="19" fillId="6" borderId="244" xfId="0" applyFont="1" applyFill="1" applyBorder="1" applyAlignment="1">
      <alignment horizontal="center" vertical="center"/>
    </xf>
    <xf numFmtId="0" fontId="168" fillId="0" borderId="49" xfId="0" applyFont="1" applyBorder="1" applyAlignment="1">
      <alignment vertical="center"/>
    </xf>
    <xf numFmtId="0" fontId="343" fillId="0" borderId="49" xfId="0" applyFont="1" applyBorder="1" applyAlignment="1">
      <alignment vertical="center"/>
    </xf>
    <xf numFmtId="0" fontId="110" fillId="0" borderId="229" xfId="0" applyFont="1" applyBorder="1" applyAlignment="1">
      <alignment horizontal="center" vertical="top" wrapText="1"/>
    </xf>
    <xf numFmtId="0" fontId="73" fillId="0" borderId="49" xfId="0" applyFont="1" applyBorder="1" applyAlignment="1">
      <alignment vertical="center"/>
    </xf>
    <xf numFmtId="0" fontId="176" fillId="0" borderId="58" xfId="0" applyFont="1" applyBorder="1" applyAlignment="1">
      <alignment vertical="top"/>
    </xf>
    <xf numFmtId="0" fontId="100" fillId="0" borderId="0" xfId="0" applyFont="1" applyAlignment="1">
      <alignment vertical="top"/>
    </xf>
    <xf numFmtId="0" fontId="100" fillId="0" borderId="58" xfId="0" applyFont="1" applyBorder="1" applyAlignment="1">
      <alignment vertical="top"/>
    </xf>
    <xf numFmtId="1" fontId="81" fillId="0" borderId="0" xfId="0" applyNumberFormat="1" applyFont="1" applyAlignment="1">
      <alignment horizontal="left"/>
    </xf>
    <xf numFmtId="0" fontId="100" fillId="0" borderId="0" xfId="0" applyFont="1" applyAlignment="1">
      <alignment horizontal="left" vertical="top"/>
    </xf>
    <xf numFmtId="0" fontId="56" fillId="0" borderId="58" xfId="0" applyFont="1" applyBorder="1" applyAlignment="1">
      <alignment vertical="center"/>
    </xf>
    <xf numFmtId="0" fontId="73" fillId="0" borderId="86" xfId="0" applyFont="1" applyBorder="1" applyAlignment="1">
      <alignment vertical="center"/>
    </xf>
    <xf numFmtId="0" fontId="56" fillId="0" borderId="57" xfId="0" applyFont="1" applyBorder="1" applyAlignment="1">
      <alignment vertical="center"/>
    </xf>
    <xf numFmtId="0" fontId="220" fillId="0" borderId="57" xfId="0" applyFont="1" applyBorder="1" applyAlignment="1">
      <alignment vertical="center" wrapText="1"/>
    </xf>
    <xf numFmtId="0" fontId="56" fillId="0" borderId="39" xfId="0" applyFont="1" applyBorder="1" applyAlignment="1">
      <alignment vertical="center"/>
    </xf>
    <xf numFmtId="0" fontId="220" fillId="0" borderId="215" xfId="0" applyFont="1" applyBorder="1" applyAlignment="1">
      <alignment horizontal="right" vertical="center"/>
    </xf>
    <xf numFmtId="0" fontId="73" fillId="0" borderId="67" xfId="0" applyFont="1" applyBorder="1" applyAlignment="1">
      <alignment vertical="center"/>
    </xf>
    <xf numFmtId="0" fontId="73" fillId="0" borderId="106" xfId="0" applyFont="1" applyBorder="1" applyAlignment="1">
      <alignment vertical="center"/>
    </xf>
    <xf numFmtId="0" fontId="80" fillId="0" borderId="49" xfId="0" applyFont="1" applyBorder="1" applyAlignment="1">
      <alignment vertical="center"/>
    </xf>
    <xf numFmtId="0" fontId="73" fillId="0" borderId="58" xfId="0" applyFont="1" applyBorder="1" applyAlignment="1">
      <alignment vertical="center"/>
    </xf>
    <xf numFmtId="0" fontId="78" fillId="0" borderId="0" xfId="0" applyFont="1" applyAlignment="1">
      <alignment vertical="center"/>
    </xf>
    <xf numFmtId="0" fontId="88" fillId="0" borderId="58" xfId="0" applyFont="1" applyBorder="1" applyAlignment="1">
      <alignment horizontal="left" vertical="top"/>
    </xf>
    <xf numFmtId="0" fontId="88" fillId="0" borderId="0" xfId="0" applyFont="1" applyAlignment="1">
      <alignment horizontal="left" vertical="center" textRotation="90"/>
    </xf>
    <xf numFmtId="0" fontId="81" fillId="0" borderId="0" xfId="0" applyFont="1" applyAlignment="1">
      <alignment horizontal="center" vertical="center"/>
    </xf>
    <xf numFmtId="0" fontId="15" fillId="0" borderId="49" xfId="0" applyFont="1" applyBorder="1" applyAlignment="1">
      <alignment vertical="center"/>
    </xf>
    <xf numFmtId="0" fontId="222" fillId="0" borderId="57" xfId="0" applyFont="1" applyBorder="1" applyAlignment="1">
      <alignment horizontal="left"/>
    </xf>
    <xf numFmtId="0" fontId="194" fillId="0" borderId="57" xfId="0" applyFont="1" applyBorder="1" applyAlignment="1">
      <alignment vertical="center"/>
    </xf>
    <xf numFmtId="0" fontId="110" fillId="0" borderId="67" xfId="0" applyFont="1" applyBorder="1" applyAlignment="1">
      <alignment horizontal="left"/>
    </xf>
    <xf numFmtId="0" fontId="56" fillId="0" borderId="43" xfId="0" applyFont="1" applyBorder="1" applyAlignment="1">
      <alignment horizontal="center"/>
    </xf>
    <xf numFmtId="0" fontId="56" fillId="0" borderId="127" xfId="0" applyFont="1" applyBorder="1" applyAlignment="1">
      <alignment horizontal="center"/>
    </xf>
    <xf numFmtId="191" fontId="158" fillId="25" borderId="72" xfId="0" applyNumberFormat="1" applyFont="1" applyFill="1" applyBorder="1" applyAlignment="1" applyProtection="1">
      <alignment horizontal="center"/>
      <protection locked="0"/>
    </xf>
    <xf numFmtId="49" fontId="158" fillId="25" borderId="30" xfId="0" applyNumberFormat="1" applyFont="1" applyFill="1" applyBorder="1" applyAlignment="1" applyProtection="1">
      <alignment horizontal="center"/>
      <protection locked="0"/>
    </xf>
    <xf numFmtId="0" fontId="171" fillId="0" borderId="16" xfId="0" applyFont="1" applyBorder="1" applyAlignment="1">
      <alignment horizontal="right" vertical="center"/>
    </xf>
    <xf numFmtId="49" fontId="19" fillId="0" borderId="3" xfId="0" applyNumberFormat="1" applyFont="1" applyBorder="1" applyAlignment="1">
      <alignment horizontal="right"/>
    </xf>
    <xf numFmtId="0" fontId="155" fillId="0" borderId="4" xfId="0" applyFont="1" applyBorder="1" applyAlignment="1">
      <alignment horizontal="right" vertical="center"/>
    </xf>
    <xf numFmtId="0" fontId="174" fillId="0" borderId="104" xfId="0" applyFont="1" applyBorder="1" applyAlignment="1">
      <alignment horizontal="left"/>
    </xf>
    <xf numFmtId="0" fontId="174" fillId="0" borderId="104" xfId="0" applyFont="1" applyBorder="1" applyAlignment="1">
      <alignment horizontal="left" vertical="top"/>
    </xf>
    <xf numFmtId="0" fontId="105" fillId="0" borderId="24" xfId="0" applyFont="1" applyBorder="1" applyAlignment="1">
      <alignment horizontal="left"/>
    </xf>
    <xf numFmtId="0" fontId="344" fillId="0" borderId="1" xfId="0" applyFont="1" applyBorder="1" applyAlignment="1">
      <alignment horizontal="center" vertical="center"/>
    </xf>
    <xf numFmtId="0" fontId="75" fillId="8" borderId="0" xfId="0" applyFont="1" applyFill="1" applyAlignment="1">
      <alignment horizontal="right" vertical="center"/>
    </xf>
    <xf numFmtId="192" fontId="75" fillId="8" borderId="0" xfId="0" applyNumberFormat="1" applyFont="1" applyFill="1" applyAlignment="1">
      <alignment horizontal="left" vertical="center"/>
    </xf>
    <xf numFmtId="0" fontId="35" fillId="0" borderId="0" xfId="0" applyFont="1" applyAlignment="1">
      <alignment horizontal="right" wrapText="1"/>
    </xf>
    <xf numFmtId="0" fontId="35" fillId="0" borderId="0" xfId="0" applyFont="1" applyAlignment="1">
      <alignment horizontal="left"/>
    </xf>
    <xf numFmtId="0" fontId="35" fillId="0" borderId="0" xfId="0" applyFont="1" applyAlignment="1">
      <alignment horizontal="left" vertical="center"/>
    </xf>
    <xf numFmtId="0" fontId="79" fillId="0" borderId="11" xfId="0" applyFont="1" applyBorder="1" applyAlignment="1">
      <alignment horizontal="center" vertical="center"/>
    </xf>
    <xf numFmtId="170" fontId="21" fillId="25" borderId="17" xfId="0" applyNumberFormat="1" applyFont="1" applyFill="1" applyBorder="1" applyAlignment="1" applyProtection="1">
      <alignment horizontal="center"/>
      <protection locked="0"/>
    </xf>
    <xf numFmtId="170" fontId="21" fillId="25" borderId="3" xfId="0" applyNumberFormat="1" applyFont="1" applyFill="1" applyBorder="1" applyAlignment="1" applyProtection="1">
      <alignment horizontal="center"/>
      <protection locked="0"/>
    </xf>
    <xf numFmtId="0" fontId="109" fillId="0" borderId="0" xfId="0" applyFont="1" applyAlignment="1">
      <alignment vertical="center"/>
    </xf>
    <xf numFmtId="0" fontId="298" fillId="0" borderId="51" xfId="0" applyFont="1" applyBorder="1" applyAlignment="1" applyProtection="1">
      <alignment vertical="center"/>
      <protection locked="0"/>
    </xf>
    <xf numFmtId="0" fontId="296" fillId="0" borderId="51" xfId="0" applyFont="1" applyBorder="1" applyAlignment="1" applyProtection="1">
      <alignment horizontal="right" vertical="center"/>
      <protection locked="0"/>
    </xf>
    <xf numFmtId="0" fontId="296" fillId="0" borderId="51" xfId="0" applyFont="1" applyBorder="1" applyAlignment="1" applyProtection="1">
      <alignment vertical="center"/>
      <protection locked="0"/>
    </xf>
    <xf numFmtId="0" fontId="299" fillId="0" borderId="51" xfId="0" applyFont="1" applyBorder="1" applyAlignment="1" applyProtection="1">
      <alignment vertical="center"/>
      <protection locked="0"/>
    </xf>
    <xf numFmtId="0" fontId="300" fillId="0" borderId="51" xfId="0" applyFont="1" applyBorder="1" applyAlignment="1" applyProtection="1">
      <alignment vertical="center"/>
      <protection locked="0"/>
    </xf>
    <xf numFmtId="0" fontId="300" fillId="0" borderId="51" xfId="0" applyFont="1" applyBorder="1" applyAlignment="1">
      <alignment vertical="center"/>
    </xf>
    <xf numFmtId="0" fontId="74" fillId="0" borderId="0" xfId="0" applyFont="1" applyAlignment="1">
      <alignment horizontal="center" vertical="center"/>
    </xf>
    <xf numFmtId="192" fontId="408" fillId="0" borderId="0" xfId="0" applyNumberFormat="1" applyFont="1" applyAlignment="1">
      <alignment horizontal="left"/>
    </xf>
    <xf numFmtId="0" fontId="422" fillId="0" borderId="169" xfId="0" applyFont="1" applyBorder="1" applyAlignment="1">
      <alignment horizontal="right" vertical="top"/>
    </xf>
    <xf numFmtId="0" fontId="106" fillId="0" borderId="0" xfId="0" applyFont="1" applyAlignment="1">
      <alignment horizontal="center"/>
    </xf>
    <xf numFmtId="0" fontId="423" fillId="25" borderId="2" xfId="0" applyFont="1" applyFill="1" applyBorder="1" applyAlignment="1" applyProtection="1">
      <alignment horizontal="center" vertical="center"/>
      <protection locked="0"/>
    </xf>
    <xf numFmtId="178" fontId="424" fillId="25" borderId="203" xfId="0" applyNumberFormat="1" applyFont="1" applyFill="1" applyBorder="1" applyAlignment="1" applyProtection="1">
      <alignment horizontal="center" vertical="center"/>
      <protection locked="0"/>
    </xf>
    <xf numFmtId="0" fontId="423" fillId="25" borderId="1" xfId="0" applyFont="1" applyFill="1" applyBorder="1" applyAlignment="1" applyProtection="1">
      <alignment horizontal="center" vertical="center"/>
      <protection locked="0"/>
    </xf>
    <xf numFmtId="0" fontId="180" fillId="0" borderId="116" xfId="0" applyFont="1" applyBorder="1" applyAlignment="1">
      <alignment horizontal="right" vertical="center"/>
    </xf>
    <xf numFmtId="0" fontId="180" fillId="0" borderId="6" xfId="0" applyFont="1" applyBorder="1" applyAlignment="1">
      <alignment horizontal="right" vertical="center"/>
    </xf>
    <xf numFmtId="0" fontId="425" fillId="0" borderId="39" xfId="1" quotePrefix="1" applyFont="1" applyFill="1" applyBorder="1" applyAlignment="1" applyProtection="1">
      <alignment vertical="center" wrapText="1"/>
    </xf>
    <xf numFmtId="0" fontId="318" fillId="29" borderId="93" xfId="0" applyFont="1" applyFill="1" applyBorder="1" applyAlignment="1">
      <alignment horizontal="center" vertical="center" wrapText="1"/>
    </xf>
    <xf numFmtId="0" fontId="0" fillId="0" borderId="141" xfId="0" applyBorder="1"/>
    <xf numFmtId="0" fontId="0" fillId="0" borderId="43" xfId="0" applyBorder="1" applyAlignment="1">
      <alignment horizontal="left" indent="1"/>
    </xf>
    <xf numFmtId="0" fontId="0" fillId="0" borderId="18" xfId="0" applyBorder="1" applyAlignment="1">
      <alignment horizontal="center"/>
    </xf>
    <xf numFmtId="0" fontId="0" fillId="0" borderId="104" xfId="0" applyBorder="1" applyAlignment="1">
      <alignment horizontal="center"/>
    </xf>
    <xf numFmtId="0" fontId="0" fillId="0" borderId="16" xfId="0" applyBorder="1" applyAlignment="1">
      <alignment horizontal="left" indent="1"/>
    </xf>
    <xf numFmtId="0" fontId="0" fillId="0" borderId="54" xfId="0" applyBorder="1" applyAlignment="1">
      <alignment horizontal="left" indent="1"/>
    </xf>
    <xf numFmtId="0" fontId="0" fillId="0" borderId="13" xfId="0" applyBorder="1" applyAlignment="1">
      <alignment horizontal="center"/>
    </xf>
    <xf numFmtId="0" fontId="0" fillId="0" borderId="5" xfId="0" applyBorder="1" applyAlignment="1">
      <alignment horizontal="left" indent="1"/>
    </xf>
    <xf numFmtId="0" fontId="0" fillId="0" borderId="42" xfId="0" applyBorder="1" applyAlignment="1">
      <alignment horizontal="left" indent="1"/>
    </xf>
    <xf numFmtId="0" fontId="0" fillId="0" borderId="23" xfId="0" applyBorder="1" applyAlignment="1">
      <alignment horizontal="center"/>
    </xf>
    <xf numFmtId="0" fontId="0" fillId="0" borderId="18" xfId="0" applyBorder="1"/>
    <xf numFmtId="0" fontId="1" fillId="0" borderId="18" xfId="0" applyFont="1" applyBorder="1" applyAlignment="1">
      <alignment horizontal="center"/>
    </xf>
    <xf numFmtId="0" fontId="0" fillId="0" borderId="51" xfId="0" applyBorder="1" applyAlignment="1">
      <alignment horizontal="left" indent="1"/>
    </xf>
    <xf numFmtId="0" fontId="0" fillId="0" borderId="104" xfId="0" applyBorder="1"/>
    <xf numFmtId="0" fontId="0" fillId="0" borderId="44" xfId="0" applyBorder="1" applyAlignment="1">
      <alignment horizontal="left" indent="1"/>
    </xf>
    <xf numFmtId="0" fontId="0" fillId="0" borderId="83" xfId="0" applyBorder="1"/>
    <xf numFmtId="0" fontId="0" fillId="0" borderId="24" xfId="0" applyBorder="1" applyAlignment="1">
      <alignment horizontal="left" indent="1"/>
    </xf>
    <xf numFmtId="0" fontId="11" fillId="0" borderId="40" xfId="0" applyFont="1" applyBorder="1" applyAlignment="1">
      <alignment horizontal="left"/>
    </xf>
    <xf numFmtId="0" fontId="3" fillId="0" borderId="4" xfId="0" applyFont="1" applyBorder="1"/>
    <xf numFmtId="0" fontId="3" fillId="0" borderId="4" xfId="0" applyFont="1" applyBorder="1" applyAlignment="1">
      <alignment horizontal="center"/>
    </xf>
    <xf numFmtId="0" fontId="11" fillId="0" borderId="43" xfId="0" applyFont="1" applyBorder="1" applyAlignment="1">
      <alignment horizontal="left"/>
    </xf>
    <xf numFmtId="0" fontId="0" fillId="0" borderId="22" xfId="0" applyBorder="1" applyAlignment="1">
      <alignment horizontal="right"/>
    </xf>
    <xf numFmtId="0" fontId="426" fillId="0" borderId="0" xfId="0" applyFont="1"/>
    <xf numFmtId="0" fontId="304" fillId="0" borderId="0" xfId="0" applyFont="1" applyAlignment="1">
      <alignment vertical="center"/>
    </xf>
    <xf numFmtId="0" fontId="367" fillId="0" borderId="24" xfId="0" applyFont="1" applyBorder="1" applyAlignment="1">
      <alignment horizontal="left" vertical="center"/>
    </xf>
    <xf numFmtId="0" fontId="429" fillId="11" borderId="176" xfId="0" applyFont="1" applyFill="1" applyBorder="1" applyAlignment="1">
      <alignment horizontal="left" vertical="center"/>
    </xf>
    <xf numFmtId="0" fontId="430" fillId="11" borderId="0" xfId="0" applyFont="1" applyFill="1" applyAlignment="1">
      <alignment horizontal="center" vertical="center"/>
    </xf>
    <xf numFmtId="0" fontId="430" fillId="11" borderId="46" xfId="0" applyFont="1" applyFill="1" applyBorder="1" applyAlignment="1">
      <alignment horizontal="center" vertical="center"/>
    </xf>
    <xf numFmtId="0" fontId="361" fillId="25" borderId="5" xfId="0" applyFont="1" applyFill="1" applyBorder="1" applyAlignment="1" applyProtection="1">
      <alignment horizontal="center" vertical="center" wrapText="1"/>
      <protection locked="0"/>
    </xf>
    <xf numFmtId="0" fontId="264" fillId="18" borderId="19" xfId="0" applyFont="1" applyFill="1" applyBorder="1" applyAlignment="1">
      <alignment horizontal="center" vertical="center"/>
    </xf>
    <xf numFmtId="0" fontId="265" fillId="0" borderId="93" xfId="0" applyFont="1" applyBorder="1" applyAlignment="1">
      <alignment horizontal="center" vertical="center"/>
    </xf>
    <xf numFmtId="49" fontId="367" fillId="0" borderId="8" xfId="0" applyNumberFormat="1" applyFont="1" applyBorder="1" applyAlignment="1">
      <alignment vertical="center"/>
    </xf>
    <xf numFmtId="0" fontId="367" fillId="0" borderId="24" xfId="0" applyFont="1" applyBorder="1" applyAlignment="1">
      <alignment horizontal="left" vertical="center" indent="1"/>
    </xf>
    <xf numFmtId="49" fontId="79" fillId="0" borderId="0" xfId="0" applyNumberFormat="1" applyFont="1" applyAlignment="1">
      <alignment horizontal="center" vertical="center"/>
    </xf>
    <xf numFmtId="0" fontId="9" fillId="0" borderId="135" xfId="0" applyFont="1" applyBorder="1" applyAlignment="1">
      <alignment horizontal="right" vertical="center"/>
    </xf>
    <xf numFmtId="0" fontId="3" fillId="0" borderId="18" xfId="0" applyFont="1" applyBorder="1" applyAlignment="1">
      <alignment horizontal="center" vertical="center"/>
    </xf>
    <xf numFmtId="0" fontId="9" fillId="0" borderId="45" xfId="0" applyFont="1" applyBorder="1" applyAlignment="1">
      <alignment horizontal="left" vertical="center"/>
    </xf>
    <xf numFmtId="0" fontId="9" fillId="0" borderId="16" xfId="0" applyFont="1" applyBorder="1" applyAlignment="1">
      <alignment horizontal="left" vertical="center"/>
    </xf>
    <xf numFmtId="0" fontId="3" fillId="0" borderId="22" xfId="0" applyFont="1" applyBorder="1" applyAlignment="1">
      <alignment horizontal="center" vertical="center"/>
    </xf>
    <xf numFmtId="0" fontId="35" fillId="0" borderId="0" xfId="0" applyFont="1" applyAlignment="1">
      <alignment vertical="center"/>
    </xf>
    <xf numFmtId="0" fontId="90" fillId="0" borderId="57" xfId="0" applyFont="1" applyBorder="1" applyAlignment="1">
      <alignment vertical="center"/>
    </xf>
    <xf numFmtId="0" fontId="155" fillId="0" borderId="0" xfId="0" applyFont="1" applyAlignment="1">
      <alignment vertical="center"/>
    </xf>
    <xf numFmtId="0" fontId="0" fillId="0" borderId="57" xfId="0" applyBorder="1" applyAlignment="1">
      <alignment horizontal="center" vertical="center"/>
    </xf>
    <xf numFmtId="0" fontId="2" fillId="0" borderId="57" xfId="0" applyFont="1" applyBorder="1" applyAlignment="1">
      <alignment horizontal="center" vertical="center" wrapText="1"/>
    </xf>
    <xf numFmtId="0" fontId="326" fillId="0" borderId="0" xfId="0" applyFont="1" applyAlignment="1">
      <alignment vertical="center"/>
    </xf>
    <xf numFmtId="0" fontId="11" fillId="3" borderId="62" xfId="0" applyFont="1" applyFill="1" applyBorder="1" applyAlignment="1">
      <alignment horizontal="center" vertical="center"/>
    </xf>
    <xf numFmtId="0" fontId="13" fillId="3" borderId="119" xfId="0" applyFont="1" applyFill="1" applyBorder="1" applyAlignment="1">
      <alignment vertical="center"/>
    </xf>
    <xf numFmtId="0" fontId="13" fillId="3" borderId="145" xfId="0" applyFont="1" applyFill="1" applyBorder="1" applyAlignment="1">
      <alignment vertical="center"/>
    </xf>
    <xf numFmtId="0" fontId="2" fillId="3" borderId="152" xfId="0" applyFont="1" applyFill="1" applyBorder="1" applyAlignment="1">
      <alignment horizontal="center" wrapText="1"/>
    </xf>
    <xf numFmtId="0" fontId="2" fillId="4" borderId="60" xfId="0" applyFont="1" applyFill="1" applyBorder="1" applyAlignment="1">
      <alignment horizontal="center" vertical="center"/>
    </xf>
    <xf numFmtId="0" fontId="2" fillId="4" borderId="24" xfId="0" applyFont="1" applyFill="1" applyBorder="1" applyAlignment="1">
      <alignment vertical="center" wrapText="1"/>
    </xf>
    <xf numFmtId="0" fontId="2" fillId="4" borderId="22" xfId="0" applyFont="1" applyFill="1" applyBorder="1" applyAlignment="1">
      <alignment vertical="center" wrapText="1"/>
    </xf>
    <xf numFmtId="0" fontId="2" fillId="3" borderId="83" xfId="0" applyFont="1" applyFill="1" applyBorder="1" applyAlignment="1">
      <alignment horizontal="center" wrapText="1"/>
    </xf>
    <xf numFmtId="0" fontId="2" fillId="0" borderId="58" xfId="0" applyFont="1" applyBorder="1" applyAlignment="1">
      <alignment horizontal="center" vertical="center"/>
    </xf>
    <xf numFmtId="0" fontId="106" fillId="0" borderId="21" xfId="0" applyFont="1" applyBorder="1" applyAlignment="1">
      <alignment vertical="center"/>
    </xf>
    <xf numFmtId="0" fontId="382" fillId="0" borderId="21" xfId="0" applyFont="1" applyBorder="1" applyAlignment="1">
      <alignment horizontal="right" vertical="center"/>
    </xf>
    <xf numFmtId="0" fontId="3" fillId="0" borderId="3" xfId="0" applyFont="1" applyBorder="1" applyAlignment="1">
      <alignment horizontal="center" vertical="center"/>
    </xf>
    <xf numFmtId="0" fontId="3" fillId="0" borderId="141" xfId="0" applyFont="1" applyBorder="1" applyAlignment="1">
      <alignment horizontal="center" vertical="center" wrapText="1"/>
    </xf>
    <xf numFmtId="0" fontId="106" fillId="0" borderId="14" xfId="0" applyFont="1" applyBorder="1" applyAlignment="1">
      <alignment vertical="center"/>
    </xf>
    <xf numFmtId="0" fontId="106" fillId="0" borderId="16" xfId="0" applyFont="1" applyBorder="1" applyAlignment="1">
      <alignment horizontal="center" vertical="center"/>
    </xf>
    <xf numFmtId="0" fontId="3" fillId="0" borderId="104" xfId="0" applyFont="1" applyBorder="1" applyAlignment="1">
      <alignment horizontal="center" vertical="center" wrapText="1"/>
    </xf>
    <xf numFmtId="0" fontId="106" fillId="0" borderId="10" xfId="0" applyFont="1" applyBorder="1" applyAlignment="1">
      <alignment vertical="center"/>
    </xf>
    <xf numFmtId="189" fontId="9" fillId="0" borderId="10" xfId="0" applyNumberFormat="1" applyFont="1" applyBorder="1" applyAlignment="1">
      <alignment horizontal="right" vertical="center"/>
    </xf>
    <xf numFmtId="0" fontId="9" fillId="0" borderId="5" xfId="0" applyFont="1" applyBorder="1" applyAlignment="1">
      <alignment horizontal="center" vertical="center"/>
    </xf>
    <xf numFmtId="0" fontId="3" fillId="0" borderId="82" xfId="0" applyFont="1" applyBorder="1" applyAlignment="1">
      <alignment horizontal="center" vertical="center" wrapText="1"/>
    </xf>
    <xf numFmtId="0" fontId="9" fillId="0" borderId="6" xfId="0" applyFont="1" applyBorder="1" applyAlignment="1">
      <alignment horizontal="center" vertical="center" wrapText="1"/>
    </xf>
    <xf numFmtId="190" fontId="9" fillId="0" borderId="10" xfId="0" applyNumberFormat="1" applyFont="1" applyBorder="1" applyAlignment="1">
      <alignment horizontal="right" vertical="center"/>
    </xf>
    <xf numFmtId="0" fontId="9" fillId="0" borderId="16" xfId="0" applyFont="1" applyBorder="1" applyAlignment="1">
      <alignment horizontal="center" vertical="center"/>
    </xf>
    <xf numFmtId="0" fontId="0" fillId="0" borderId="63" xfId="0" applyBorder="1" applyAlignment="1">
      <alignment horizontal="center" vertical="center"/>
    </xf>
    <xf numFmtId="0" fontId="9" fillId="0" borderId="12" xfId="0" applyFont="1" applyBorder="1" applyAlignment="1">
      <alignment horizontal="center" vertical="center" wrapText="1"/>
    </xf>
    <xf numFmtId="0" fontId="16" fillId="0" borderId="1" xfId="0" applyFont="1" applyBorder="1" applyAlignment="1">
      <alignment vertical="center" wrapText="1"/>
    </xf>
    <xf numFmtId="172" fontId="9" fillId="0" borderId="10" xfId="0" applyNumberFormat="1" applyFont="1" applyBorder="1" applyAlignment="1">
      <alignment horizontal="right" vertical="center" wrapText="1"/>
    </xf>
    <xf numFmtId="0" fontId="16" fillId="0" borderId="5"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0" xfId="0" applyFont="1" applyAlignment="1">
      <alignment vertical="center" wrapText="1"/>
    </xf>
    <xf numFmtId="172" fontId="16" fillId="0" borderId="10" xfId="0" applyNumberFormat="1" applyFont="1" applyBorder="1" applyAlignment="1">
      <alignment horizontal="right" vertical="center" wrapText="1"/>
    </xf>
    <xf numFmtId="0" fontId="324" fillId="0" borderId="76" xfId="0" applyFont="1" applyBorder="1" applyAlignment="1">
      <alignment horizontal="center" vertical="center" wrapText="1"/>
    </xf>
    <xf numFmtId="0" fontId="16" fillId="0" borderId="111" xfId="0" applyFont="1" applyBorder="1" applyAlignment="1">
      <alignment horizontal="center" vertical="center" wrapText="1"/>
    </xf>
    <xf numFmtId="0" fontId="9" fillId="0" borderId="125" xfId="0" applyFont="1" applyBorder="1" applyAlignment="1">
      <alignment horizontal="center" vertical="center" wrapText="1"/>
    </xf>
    <xf numFmtId="0" fontId="0" fillId="0" borderId="64" xfId="0" applyBorder="1" applyAlignment="1">
      <alignment horizontal="center" vertical="center"/>
    </xf>
    <xf numFmtId="0" fontId="16" fillId="0" borderId="52" xfId="0" applyFont="1" applyBorder="1" applyAlignment="1">
      <alignment vertical="center" wrapText="1"/>
    </xf>
    <xf numFmtId="0" fontId="16" fillId="0" borderId="38" xfId="0" applyFont="1" applyBorder="1" applyAlignment="1">
      <alignment horizontal="right" vertical="center" wrapText="1"/>
    </xf>
    <xf numFmtId="0" fontId="16" fillId="0" borderId="65" xfId="0" applyFont="1" applyBorder="1" applyAlignment="1">
      <alignment horizontal="center" vertical="center" wrapText="1"/>
    </xf>
    <xf numFmtId="0" fontId="9" fillId="0" borderId="77" xfId="0" applyFont="1" applyBorder="1" applyAlignment="1">
      <alignment horizontal="center" vertical="center" wrapText="1"/>
    </xf>
    <xf numFmtId="0" fontId="2" fillId="6" borderId="100" xfId="0" applyFont="1" applyFill="1" applyBorder="1" applyAlignment="1">
      <alignment horizontal="center" vertical="center"/>
    </xf>
    <xf numFmtId="0" fontId="2" fillId="6" borderId="101" xfId="0" applyFont="1" applyFill="1" applyBorder="1" applyAlignment="1">
      <alignment horizontal="center" vertical="center" wrapText="1"/>
    </xf>
    <xf numFmtId="0" fontId="16" fillId="6" borderId="101" xfId="0" applyFont="1" applyFill="1" applyBorder="1" applyAlignment="1">
      <alignment vertical="center" wrapText="1"/>
    </xf>
    <xf numFmtId="0" fontId="16" fillId="6" borderId="101" xfId="0" applyFont="1" applyFill="1" applyBorder="1" applyAlignment="1">
      <alignment horizontal="right" vertical="center" wrapText="1"/>
    </xf>
    <xf numFmtId="0" fontId="16" fillId="6" borderId="101" xfId="0" applyFont="1" applyFill="1" applyBorder="1" applyAlignment="1">
      <alignment horizontal="center" vertical="center" wrapText="1"/>
    </xf>
    <xf numFmtId="0" fontId="16" fillId="6" borderId="101" xfId="0" applyFont="1" applyFill="1" applyBorder="1" applyAlignment="1">
      <alignment horizontal="left" vertical="center" wrapText="1"/>
    </xf>
    <xf numFmtId="0" fontId="9" fillId="6" borderId="101" xfId="0" applyFont="1" applyFill="1" applyBorder="1" applyAlignment="1">
      <alignment horizontal="center" vertical="center" wrapText="1"/>
    </xf>
    <xf numFmtId="0" fontId="75" fillId="6" borderId="101" xfId="0" applyFont="1" applyFill="1" applyBorder="1" applyAlignment="1">
      <alignment horizontal="center" vertical="center" wrapText="1"/>
    </xf>
    <xf numFmtId="0" fontId="75" fillId="6" borderId="147" xfId="0" applyFont="1" applyFill="1" applyBorder="1" applyAlignment="1">
      <alignment horizontal="center" vertical="center" wrapText="1"/>
    </xf>
    <xf numFmtId="0" fontId="0" fillId="0" borderId="63" xfId="0" applyBorder="1" applyAlignment="1">
      <alignment vertical="center"/>
    </xf>
    <xf numFmtId="0" fontId="9" fillId="0" borderId="122" xfId="0" applyFont="1" applyBorder="1" applyAlignment="1">
      <alignment horizontal="left" vertical="center"/>
    </xf>
    <xf numFmtId="0" fontId="0" fillId="0" borderId="49" xfId="0" applyBorder="1" applyAlignment="1">
      <alignment vertical="center"/>
    </xf>
    <xf numFmtId="0" fontId="9" fillId="0" borderId="162" xfId="0" applyFont="1" applyBorder="1" applyAlignment="1">
      <alignment vertical="center"/>
    </xf>
    <xf numFmtId="0" fontId="0" fillId="0" borderId="0" xfId="0" applyAlignment="1">
      <alignment vertical="center" wrapText="1"/>
    </xf>
    <xf numFmtId="0" fontId="0" fillId="0" borderId="45" xfId="0" applyBorder="1" applyAlignment="1">
      <alignment vertical="center"/>
    </xf>
    <xf numFmtId="0" fontId="13" fillId="3" borderId="119" xfId="0" applyFont="1" applyFill="1" applyBorder="1" applyAlignment="1">
      <alignment vertical="center" wrapText="1"/>
    </xf>
    <xf numFmtId="0" fontId="13" fillId="3" borderId="145" xfId="0" applyFont="1" applyFill="1" applyBorder="1" applyAlignment="1">
      <alignment vertical="center" wrapText="1"/>
    </xf>
    <xf numFmtId="0" fontId="2" fillId="4" borderId="60" xfId="0" applyFont="1" applyFill="1" applyBorder="1" applyAlignment="1">
      <alignment horizontal="center"/>
    </xf>
    <xf numFmtId="0" fontId="12" fillId="4" borderId="22" xfId="0" applyFont="1" applyFill="1" applyBorder="1" applyAlignment="1">
      <alignment horizontal="center" vertical="center" wrapText="1"/>
    </xf>
    <xf numFmtId="0" fontId="0" fillId="0" borderId="68" xfId="0" applyBorder="1" applyAlignment="1">
      <alignment horizontal="center" vertical="center"/>
    </xf>
    <xf numFmtId="0" fontId="16" fillId="0" borderId="135" xfId="0" applyFont="1" applyBorder="1" applyAlignment="1">
      <alignment horizontal="right" vertical="center" wrapText="1"/>
    </xf>
    <xf numFmtId="0" fontId="16" fillId="0" borderId="21" xfId="0" applyFont="1" applyBorder="1" applyAlignment="1">
      <alignment horizontal="right" vertical="center" wrapText="1"/>
    </xf>
    <xf numFmtId="0" fontId="16" fillId="0" borderId="3" xfId="0" applyFont="1" applyBorder="1" applyAlignment="1">
      <alignment horizontal="center" vertical="center" wrapText="1"/>
    </xf>
    <xf numFmtId="0" fontId="16" fillId="0" borderId="75" xfId="0" applyFont="1" applyBorder="1" applyAlignment="1">
      <alignment horizontal="center" vertical="center" wrapText="1"/>
    </xf>
    <xf numFmtId="0" fontId="6" fillId="0" borderId="0" xfId="0" applyFont="1" applyAlignment="1">
      <alignment horizontal="center" vertical="center" wrapText="1"/>
    </xf>
    <xf numFmtId="0" fontId="16" fillId="0" borderId="6" xfId="0" applyFont="1" applyBorder="1" applyAlignment="1">
      <alignment vertical="center" wrapText="1"/>
    </xf>
    <xf numFmtId="0" fontId="16" fillId="0" borderId="10" xfId="0" applyFont="1" applyBorder="1" applyAlignment="1">
      <alignment horizontal="right" vertical="center" wrapText="1"/>
    </xf>
    <xf numFmtId="0" fontId="16" fillId="0" borderId="76" xfId="0" applyFont="1" applyBorder="1" applyAlignment="1">
      <alignment horizontal="center" vertical="center" wrapText="1"/>
    </xf>
    <xf numFmtId="0" fontId="16" fillId="0" borderId="54" xfId="0" applyFont="1" applyBorder="1" applyAlignment="1">
      <alignment vertical="center" wrapText="1"/>
    </xf>
    <xf numFmtId="0" fontId="16" fillId="0" borderId="12" xfId="0" applyFont="1" applyBorder="1" applyAlignment="1">
      <alignment vertical="center" wrapText="1"/>
    </xf>
    <xf numFmtId="0" fontId="79" fillId="0" borderId="0" xfId="0" applyFont="1" applyAlignment="1">
      <alignment horizontal="center" vertical="center"/>
    </xf>
    <xf numFmtId="0" fontId="116" fillId="0" borderId="0" xfId="0" applyFont="1" applyAlignment="1">
      <alignment horizontal="center" vertical="center"/>
    </xf>
    <xf numFmtId="0" fontId="79" fillId="0" borderId="0" xfId="0" applyFont="1" applyAlignment="1">
      <alignment horizontal="center" vertical="center" wrapText="1"/>
    </xf>
    <xf numFmtId="0" fontId="0" fillId="0" borderId="69" xfId="0" applyBorder="1" applyAlignment="1">
      <alignment horizontal="center" vertical="center"/>
    </xf>
    <xf numFmtId="0" fontId="16" fillId="0" borderId="9" xfId="0" applyFont="1" applyBorder="1" applyAlignment="1">
      <alignment horizontal="right" vertical="center" wrapText="1"/>
    </xf>
    <xf numFmtId="0" fontId="16" fillId="0" borderId="8" xfId="0" applyFont="1" applyBorder="1" applyAlignment="1">
      <alignment horizontal="center" vertical="center" wrapText="1"/>
    </xf>
    <xf numFmtId="0" fontId="16" fillId="0" borderId="87" xfId="0" applyFont="1" applyBorder="1" applyAlignment="1">
      <alignment horizontal="center" vertical="center" wrapText="1"/>
    </xf>
    <xf numFmtId="0" fontId="0" fillId="0" borderId="58" xfId="0" applyBorder="1" applyAlignment="1">
      <alignment horizontal="center" vertical="center"/>
    </xf>
    <xf numFmtId="0" fontId="2" fillId="4" borderId="100" xfId="0" applyFont="1" applyFill="1" applyBorder="1" applyAlignment="1">
      <alignment horizontal="center" vertical="center"/>
    </xf>
    <xf numFmtId="0" fontId="14" fillId="4" borderId="101" xfId="0" applyFont="1" applyFill="1" applyBorder="1" applyAlignment="1">
      <alignment vertical="center" wrapText="1"/>
    </xf>
    <xf numFmtId="0" fontId="14" fillId="4" borderId="103" xfId="0" applyFont="1" applyFill="1" applyBorder="1" applyAlignment="1">
      <alignment vertical="center" wrapText="1"/>
    </xf>
    <xf numFmtId="0" fontId="2" fillId="0" borderId="68" xfId="0" applyFont="1" applyBorder="1" applyAlignment="1">
      <alignment horizontal="center" vertical="center"/>
    </xf>
    <xf numFmtId="0" fontId="14" fillId="0" borderId="21" xfId="0" applyFont="1" applyBorder="1" applyAlignment="1">
      <alignment vertical="center" wrapText="1"/>
    </xf>
    <xf numFmtId="0" fontId="15" fillId="0" borderId="3" xfId="0" applyFont="1" applyBorder="1" applyAlignment="1">
      <alignment horizontal="right" vertical="center" wrapText="1"/>
    </xf>
    <xf numFmtId="0" fontId="16" fillId="0" borderId="14" xfId="0" applyFont="1" applyBorder="1" applyAlignment="1">
      <alignment horizontal="right" vertical="center" wrapText="1"/>
    </xf>
    <xf numFmtId="16" fontId="16" fillId="0" borderId="16" xfId="0" applyNumberFormat="1" applyFont="1" applyBorder="1" applyAlignment="1">
      <alignment horizontal="center" vertical="center" wrapText="1"/>
    </xf>
    <xf numFmtId="193" fontId="75" fillId="25" borderId="18" xfId="0" applyNumberFormat="1" applyFont="1" applyFill="1" applyBorder="1" applyAlignment="1">
      <alignment horizontal="left" vertical="center" wrapText="1"/>
    </xf>
    <xf numFmtId="0" fontId="16" fillId="0" borderId="82" xfId="0" applyFont="1" applyBorder="1" applyAlignment="1">
      <alignment horizontal="center" vertical="center" wrapText="1"/>
    </xf>
    <xf numFmtId="167" fontId="0" fillId="0" borderId="0" xfId="0" applyNumberFormat="1" applyAlignment="1">
      <alignment vertical="center"/>
    </xf>
    <xf numFmtId="0" fontId="16" fillId="0" borderId="12" xfId="0" applyFont="1" applyBorder="1" applyAlignment="1">
      <alignment horizontal="right" vertical="center" wrapText="1"/>
    </xf>
    <xf numFmtId="193" fontId="75" fillId="25" borderId="13" xfId="0" applyNumberFormat="1" applyFont="1" applyFill="1" applyBorder="1" applyAlignment="1">
      <alignment horizontal="left" vertical="center" wrapText="1"/>
    </xf>
    <xf numFmtId="49" fontId="100" fillId="0" borderId="0" xfId="0" applyNumberFormat="1" applyFont="1" applyAlignment="1">
      <alignment horizontal="center" vertical="center"/>
    </xf>
    <xf numFmtId="0" fontId="16" fillId="0" borderId="42" xfId="0" applyFont="1" applyBorder="1" applyAlignment="1">
      <alignment vertical="center" wrapText="1"/>
    </xf>
    <xf numFmtId="0" fontId="16" fillId="0" borderId="11" xfId="0" applyFont="1" applyBorder="1" applyAlignment="1">
      <alignment horizontal="right" vertical="center" wrapText="1"/>
    </xf>
    <xf numFmtId="0" fontId="16" fillId="0" borderId="27" xfId="0" applyFont="1" applyBorder="1" applyAlignment="1">
      <alignment horizontal="right" vertical="center" wrapText="1"/>
    </xf>
    <xf numFmtId="193" fontId="75" fillId="0" borderId="23" xfId="0" applyNumberFormat="1" applyFont="1" applyBorder="1" applyAlignment="1">
      <alignment horizontal="left" vertical="center" wrapText="1"/>
    </xf>
    <xf numFmtId="49" fontId="106" fillId="0" borderId="0" xfId="0" applyNumberFormat="1" applyFont="1" applyAlignment="1">
      <alignment horizontal="center" vertical="center" wrapText="1"/>
    </xf>
    <xf numFmtId="0" fontId="14" fillId="4" borderId="101" xfId="0" applyFont="1" applyFill="1" applyBorder="1" applyAlignment="1">
      <alignment vertical="center"/>
    </xf>
    <xf numFmtId="0" fontId="54" fillId="4" borderId="150" xfId="0" applyFont="1" applyFill="1" applyBorder="1" applyAlignment="1">
      <alignment vertical="center" wrapText="1"/>
    </xf>
    <xf numFmtId="0" fontId="54" fillId="4" borderId="103" xfId="0" applyFont="1" applyFill="1" applyBorder="1" applyAlignment="1">
      <alignment vertical="center" wrapText="1"/>
    </xf>
    <xf numFmtId="0" fontId="0" fillId="0" borderId="24" xfId="0" applyBorder="1" applyAlignment="1">
      <alignment vertical="center"/>
    </xf>
    <xf numFmtId="0" fontId="158" fillId="0" borderId="0" xfId="0" applyFont="1" applyAlignment="1">
      <alignment horizontal="center" vertical="center"/>
    </xf>
    <xf numFmtId="0" fontId="16" fillId="0" borderId="107" xfId="0" applyFont="1" applyBorder="1" applyAlignment="1">
      <alignment vertical="center"/>
    </xf>
    <xf numFmtId="0" fontId="16" fillId="0" borderId="3" xfId="0" applyFont="1" applyBorder="1" applyAlignment="1">
      <alignment horizontal="right" vertical="center" wrapText="1"/>
    </xf>
    <xf numFmtId="0" fontId="106" fillId="0" borderId="0" xfId="0" applyFont="1" applyAlignment="1">
      <alignment horizontal="center" vertical="center"/>
    </xf>
    <xf numFmtId="0" fontId="16" fillId="0" borderId="118" xfId="0" applyFont="1" applyBorder="1" applyAlignment="1">
      <alignment vertical="center"/>
    </xf>
    <xf numFmtId="0" fontId="77" fillId="0" borderId="12" xfId="0" applyFont="1" applyBorder="1" applyAlignment="1">
      <alignment horizontal="center" vertical="center" wrapText="1"/>
    </xf>
    <xf numFmtId="0" fontId="9" fillId="0" borderId="0" xfId="0" applyFont="1" applyAlignment="1">
      <alignment horizontal="center" vertical="center" wrapText="1"/>
    </xf>
    <xf numFmtId="0" fontId="16" fillId="0" borderId="56" xfId="0" applyFont="1" applyBorder="1" applyAlignment="1">
      <alignment vertical="center"/>
    </xf>
    <xf numFmtId="0" fontId="1" fillId="0" borderId="8" xfId="0" applyFont="1" applyBorder="1" applyAlignment="1">
      <alignment horizontal="center" vertical="center"/>
    </xf>
    <xf numFmtId="0" fontId="9" fillId="0" borderId="87" xfId="0" applyFont="1" applyBorder="1" applyAlignment="1">
      <alignment horizontal="center" vertical="center"/>
    </xf>
    <xf numFmtId="0" fontId="54" fillId="0" borderId="0" xfId="0" applyFont="1" applyAlignment="1">
      <alignment vertical="center"/>
    </xf>
    <xf numFmtId="0" fontId="54" fillId="0" borderId="0" xfId="0" applyFont="1" applyAlignment="1">
      <alignment vertical="center" wrapText="1"/>
    </xf>
    <xf numFmtId="0" fontId="56" fillId="0" borderId="130" xfId="0" applyFont="1" applyBorder="1" applyAlignment="1">
      <alignment horizontal="center" vertical="center" wrapText="1"/>
    </xf>
    <xf numFmtId="0" fontId="9" fillId="0" borderId="71" xfId="0" applyFont="1" applyBorder="1" applyAlignment="1">
      <alignment horizontal="center" vertical="center" wrapText="1"/>
    </xf>
    <xf numFmtId="0" fontId="16" fillId="0" borderId="71" xfId="0" applyFont="1" applyBorder="1" applyAlignment="1">
      <alignment horizontal="center" vertical="center" wrapText="1"/>
    </xf>
    <xf numFmtId="0" fontId="9" fillId="0" borderId="45" xfId="0" applyFont="1" applyBorder="1" applyAlignment="1">
      <alignment vertical="center" wrapText="1"/>
    </xf>
    <xf numFmtId="0" fontId="19" fillId="4" borderId="101" xfId="0" applyFont="1" applyFill="1" applyBorder="1" applyAlignment="1">
      <alignment horizontal="center" vertical="center" wrapText="1"/>
    </xf>
    <xf numFmtId="0" fontId="0" fillId="0" borderId="58" xfId="0" applyBorder="1" applyAlignment="1">
      <alignment vertical="center"/>
    </xf>
    <xf numFmtId="0" fontId="16" fillId="0" borderId="107" xfId="0" applyFont="1" applyBorder="1" applyAlignment="1">
      <alignment vertical="center" wrapText="1"/>
    </xf>
    <xf numFmtId="0" fontId="16" fillId="0" borderId="3" xfId="0" applyFont="1" applyBorder="1" applyAlignment="1">
      <alignment horizontal="right" vertical="center"/>
    </xf>
    <xf numFmtId="49" fontId="16" fillId="0" borderId="3" xfId="0" applyNumberFormat="1" applyFont="1" applyBorder="1" applyAlignment="1">
      <alignment horizontal="right" vertical="center" wrapText="1"/>
    </xf>
    <xf numFmtId="0" fontId="16" fillId="0" borderId="6" xfId="0" applyFont="1" applyBorder="1" applyAlignment="1">
      <alignment horizontal="center" vertical="center" wrapText="1"/>
    </xf>
    <xf numFmtId="0" fontId="0" fillId="0" borderId="219" xfId="0" applyBorder="1" applyAlignment="1">
      <alignment vertical="center"/>
    </xf>
    <xf numFmtId="0" fontId="16" fillId="0" borderId="72" xfId="0" applyFont="1" applyBorder="1" applyAlignment="1">
      <alignment vertical="center" wrapText="1"/>
    </xf>
    <xf numFmtId="0" fontId="77" fillId="0" borderId="1" xfId="0" applyFont="1" applyBorder="1" applyAlignment="1">
      <alignment horizontal="center" vertical="center" wrapText="1"/>
    </xf>
    <xf numFmtId="0" fontId="16" fillId="0" borderId="10" xfId="0" applyFont="1" applyBorder="1" applyAlignment="1">
      <alignment vertical="center" wrapText="1"/>
    </xf>
    <xf numFmtId="49" fontId="16" fillId="0" borderId="5" xfId="0" applyNumberFormat="1" applyFont="1" applyBorder="1" applyAlignment="1">
      <alignment horizontal="center" vertical="center" wrapText="1"/>
    </xf>
    <xf numFmtId="0" fontId="16" fillId="0" borderId="12" xfId="0" applyFont="1" applyBorder="1" applyAlignment="1">
      <alignment horizontal="center" vertical="center" wrapText="1"/>
    </xf>
    <xf numFmtId="0" fontId="0" fillId="0" borderId="69" xfId="0" applyBorder="1" applyAlignment="1">
      <alignment vertical="center"/>
    </xf>
    <xf numFmtId="0" fontId="16" fillId="0" borderId="73" xfId="0" applyFont="1" applyBorder="1" applyAlignment="1">
      <alignment vertical="center" wrapText="1"/>
    </xf>
    <xf numFmtId="0" fontId="77" fillId="0" borderId="7" xfId="0" applyFont="1" applyBorder="1" applyAlignment="1">
      <alignment horizontal="center" vertical="center" wrapText="1"/>
    </xf>
    <xf numFmtId="49" fontId="16" fillId="0" borderId="8" xfId="0" applyNumberFormat="1" applyFont="1" applyBorder="1" applyAlignment="1">
      <alignment horizontal="right" vertical="center" wrapText="1"/>
    </xf>
    <xf numFmtId="0" fontId="16" fillId="0" borderId="11" xfId="0" applyFont="1" applyBorder="1" applyAlignment="1">
      <alignment horizontal="center" vertical="center" wrapText="1"/>
    </xf>
    <xf numFmtId="0" fontId="0" fillId="0" borderId="74" xfId="0" applyBorder="1" applyAlignment="1">
      <alignment horizontal="center" vertical="center"/>
    </xf>
    <xf numFmtId="49" fontId="3" fillId="0" borderId="0" xfId="0" applyNumberFormat="1" applyFont="1" applyAlignment="1">
      <alignment vertical="center"/>
    </xf>
    <xf numFmtId="0" fontId="0" fillId="0" borderId="88" xfId="0" applyBorder="1" applyAlignment="1">
      <alignment horizontal="center" vertical="center"/>
    </xf>
    <xf numFmtId="0" fontId="50" fillId="0" borderId="0" xfId="0" applyFont="1" applyAlignment="1">
      <alignment vertical="center" wrapText="1"/>
    </xf>
    <xf numFmtId="0" fontId="2" fillId="4" borderId="8" xfId="0" applyFont="1" applyFill="1" applyBorder="1" applyAlignment="1">
      <alignment vertical="center" wrapText="1"/>
    </xf>
    <xf numFmtId="0" fontId="50" fillId="4" borderId="8" xfId="0" applyFont="1" applyFill="1" applyBorder="1" applyAlignment="1">
      <alignment vertical="center" wrapText="1"/>
    </xf>
    <xf numFmtId="0" fontId="22" fillId="4" borderId="23" xfId="0" applyFont="1" applyFill="1" applyBorder="1" applyAlignment="1">
      <alignment horizontal="right" vertical="center"/>
    </xf>
    <xf numFmtId="0" fontId="22" fillId="4" borderId="7" xfId="0" applyFont="1" applyFill="1" applyBorder="1" applyAlignment="1">
      <alignment horizontal="center" vertical="center" wrapText="1"/>
    </xf>
    <xf numFmtId="0" fontId="9" fillId="4" borderId="33" xfId="0" applyFont="1" applyFill="1" applyBorder="1" applyAlignment="1">
      <alignment horizontal="center" vertical="center" wrapText="1"/>
    </xf>
    <xf numFmtId="0" fontId="9" fillId="0" borderId="3" xfId="0" applyFont="1" applyBorder="1" applyAlignment="1">
      <alignment vertical="center" wrapText="1"/>
    </xf>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0" fontId="9" fillId="0" borderId="75" xfId="0" applyFont="1" applyBorder="1" applyAlignment="1">
      <alignment horizontal="center" vertical="center" wrapText="1"/>
    </xf>
    <xf numFmtId="0" fontId="22" fillId="0" borderId="31" xfId="0" applyFont="1" applyBorder="1" applyAlignment="1">
      <alignment horizontal="center" vertical="center" wrapText="1"/>
    </xf>
    <xf numFmtId="0" fontId="9" fillId="0" borderId="54" xfId="0" applyFont="1" applyBorder="1" applyAlignment="1">
      <alignment vertical="center" wrapText="1"/>
    </xf>
    <xf numFmtId="0" fontId="9" fillId="0" borderId="5" xfId="0" applyFont="1" applyBorder="1" applyAlignment="1">
      <alignment vertical="center" wrapText="1"/>
    </xf>
    <xf numFmtId="49" fontId="9" fillId="0" borderId="5"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0" fontId="143" fillId="0" borderId="76" xfId="0" applyFont="1" applyBorder="1" applyAlignment="1">
      <alignment horizontal="center" vertical="center" wrapText="1"/>
    </xf>
    <xf numFmtId="0" fontId="22" fillId="0" borderId="1" xfId="0" applyFont="1" applyBorder="1" applyAlignment="1">
      <alignment horizontal="center" vertical="center" wrapText="1"/>
    </xf>
    <xf numFmtId="0" fontId="322" fillId="0" borderId="0" xfId="0" applyFont="1" applyAlignment="1">
      <alignment vertical="center"/>
    </xf>
    <xf numFmtId="49" fontId="9" fillId="0" borderId="79" xfId="0" applyNumberFormat="1" applyFont="1" applyBorder="1" applyAlignment="1">
      <alignment horizontal="center" vertical="center" wrapText="1"/>
    </xf>
    <xf numFmtId="49" fontId="9" fillId="0" borderId="80" xfId="0" applyNumberFormat="1" applyFont="1" applyBorder="1" applyAlignment="1">
      <alignment horizontal="center" vertical="center" wrapText="1"/>
    </xf>
    <xf numFmtId="0" fontId="22" fillId="0" borderId="52" xfId="0" applyFont="1" applyBorder="1" applyAlignment="1">
      <alignment horizontal="center" vertical="center" wrapText="1"/>
    </xf>
    <xf numFmtId="0" fontId="2" fillId="4" borderId="101" xfId="0" applyFont="1" applyFill="1" applyBorder="1" applyAlignment="1">
      <alignment vertical="center" wrapText="1"/>
    </xf>
    <xf numFmtId="0" fontId="2" fillId="4" borderId="102" xfId="0" applyFont="1" applyFill="1" applyBorder="1" applyAlignment="1">
      <alignment horizontal="center" vertical="center" wrapText="1"/>
    </xf>
    <xf numFmtId="0" fontId="0" fillId="4" borderId="101" xfId="0" applyFill="1" applyBorder="1" applyAlignment="1">
      <alignment vertical="center"/>
    </xf>
    <xf numFmtId="0" fontId="0" fillId="0" borderId="220" xfId="0" applyBorder="1" applyAlignment="1">
      <alignment vertical="center"/>
    </xf>
    <xf numFmtId="0" fontId="16" fillId="0" borderId="3" xfId="0" applyFont="1" applyBorder="1" applyAlignment="1">
      <alignment vertical="center" wrapText="1"/>
    </xf>
    <xf numFmtId="49" fontId="3" fillId="0" borderId="4" xfId="0" applyNumberFormat="1" applyFont="1" applyBorder="1" applyAlignment="1">
      <alignment horizontal="center" vertical="center"/>
    </xf>
    <xf numFmtId="0" fontId="16" fillId="0" borderId="19" xfId="0" applyFont="1" applyBorder="1" applyAlignment="1">
      <alignment horizontal="center" vertical="center" wrapText="1"/>
    </xf>
    <xf numFmtId="0" fontId="3" fillId="0" borderId="49" xfId="0" applyFont="1" applyBorder="1" applyAlignment="1">
      <alignment horizontal="right" vertical="center"/>
    </xf>
    <xf numFmtId="49" fontId="9" fillId="0" borderId="6" xfId="0" applyNumberFormat="1" applyFont="1" applyBorder="1" applyAlignment="1">
      <alignment vertical="center"/>
    </xf>
    <xf numFmtId="0" fontId="9" fillId="0" borderId="16" xfId="0" applyFont="1" applyBorder="1" applyAlignment="1">
      <alignment vertical="center"/>
    </xf>
    <xf numFmtId="49" fontId="9" fillId="0" borderId="16" xfId="0" applyNumberFormat="1" applyFont="1" applyBorder="1" applyAlignment="1">
      <alignment vertical="center"/>
    </xf>
    <xf numFmtId="0" fontId="9" fillId="0" borderId="18" xfId="0" applyFont="1" applyBorder="1" applyAlignment="1">
      <alignment vertical="center"/>
    </xf>
    <xf numFmtId="49" fontId="3" fillId="0" borderId="13" xfId="0" applyNumberFormat="1" applyFont="1" applyBorder="1" applyAlignment="1">
      <alignment horizontal="center" vertical="center"/>
    </xf>
    <xf numFmtId="0" fontId="9" fillId="0" borderId="12" xfId="0" applyFont="1" applyBorder="1" applyAlignment="1">
      <alignment horizontal="left" vertical="center"/>
    </xf>
    <xf numFmtId="0" fontId="9" fillId="0" borderId="5" xfId="0" applyFont="1" applyBorder="1" applyAlignment="1">
      <alignment vertical="center"/>
    </xf>
    <xf numFmtId="49" fontId="9" fillId="0" borderId="5" xfId="0" applyNumberFormat="1" applyFont="1" applyBorder="1" applyAlignment="1">
      <alignment vertical="center"/>
    </xf>
    <xf numFmtId="0" fontId="9" fillId="0" borderId="13" xfId="0" applyFont="1" applyBorder="1" applyAlignment="1">
      <alignment vertical="center"/>
    </xf>
    <xf numFmtId="0" fontId="143" fillId="0" borderId="12" xfId="0" applyFont="1" applyBorder="1" applyAlignment="1">
      <alignment horizontal="center" vertical="center" wrapText="1"/>
    </xf>
    <xf numFmtId="49" fontId="9" fillId="0" borderId="13" xfId="0" applyNumberFormat="1" applyFont="1" applyBorder="1" applyAlignment="1">
      <alignment vertical="center"/>
    </xf>
    <xf numFmtId="0" fontId="3" fillId="0" borderId="13" xfId="0" applyFont="1" applyBorder="1" applyAlignment="1">
      <alignment horizontal="center" vertical="center" wrapText="1"/>
    </xf>
    <xf numFmtId="0" fontId="9" fillId="0" borderId="79" xfId="0" applyFont="1" applyBorder="1" applyAlignment="1">
      <alignment horizontal="center" vertical="center"/>
    </xf>
    <xf numFmtId="0" fontId="9" fillId="0" borderId="81" xfId="0" applyFont="1" applyBorder="1" applyAlignment="1">
      <alignment horizontal="left" vertical="center"/>
    </xf>
    <xf numFmtId="0" fontId="9" fillId="0" borderId="79" xfId="0" applyFont="1" applyBorder="1" applyAlignment="1">
      <alignment vertical="center"/>
    </xf>
    <xf numFmtId="49" fontId="9" fillId="0" borderId="79" xfId="0" applyNumberFormat="1" applyFont="1" applyBorder="1" applyAlignment="1">
      <alignment vertical="center"/>
    </xf>
    <xf numFmtId="49" fontId="9" fillId="0" borderId="80" xfId="0" applyNumberFormat="1" applyFont="1" applyBorder="1" applyAlignment="1">
      <alignment vertical="center"/>
    </xf>
    <xf numFmtId="0" fontId="16" fillId="0" borderId="8" xfId="0" applyFont="1" applyBorder="1" applyAlignment="1">
      <alignment vertical="center" wrapText="1"/>
    </xf>
    <xf numFmtId="0" fontId="16" fillId="0" borderId="23" xfId="0" applyFont="1" applyBorder="1" applyAlignment="1">
      <alignment vertical="center" wrapText="1"/>
    </xf>
    <xf numFmtId="0" fontId="2" fillId="8" borderId="45" xfId="0" applyFont="1" applyFill="1" applyBorder="1" applyAlignment="1">
      <alignment horizontal="center" vertical="center"/>
    </xf>
    <xf numFmtId="0" fontId="2" fillId="8" borderId="92" xfId="0" applyFont="1" applyFill="1" applyBorder="1" applyAlignment="1">
      <alignment horizontal="center" vertical="center"/>
    </xf>
    <xf numFmtId="0" fontId="0" fillId="0" borderId="70" xfId="0" applyBorder="1" applyAlignment="1">
      <alignment horizontal="center" vertical="center"/>
    </xf>
    <xf numFmtId="0" fontId="16" fillId="0" borderId="71" xfId="0" applyFont="1" applyBorder="1" applyAlignment="1">
      <alignment vertical="center" wrapText="1"/>
    </xf>
    <xf numFmtId="0" fontId="6" fillId="0" borderId="71" xfId="0" applyFont="1" applyBorder="1" applyAlignment="1">
      <alignment horizontal="center" vertical="center" wrapText="1"/>
    </xf>
    <xf numFmtId="0" fontId="65" fillId="0" borderId="71" xfId="0" applyFont="1" applyBorder="1" applyAlignment="1">
      <alignment horizontal="center" vertical="center" wrapText="1"/>
    </xf>
    <xf numFmtId="0" fontId="65" fillId="0" borderId="156" xfId="0" applyFont="1" applyBorder="1" applyAlignment="1">
      <alignment horizontal="center" vertical="center" wrapText="1"/>
    </xf>
    <xf numFmtId="0" fontId="2" fillId="8" borderId="24" xfId="0" applyFont="1" applyFill="1" applyBorder="1" applyAlignment="1">
      <alignment horizontal="center" vertical="center"/>
    </xf>
    <xf numFmtId="0" fontId="2" fillId="8" borderId="22" xfId="0" applyFont="1" applyFill="1" applyBorder="1" applyAlignment="1">
      <alignment horizontal="center" vertical="center"/>
    </xf>
    <xf numFmtId="0" fontId="9" fillId="8" borderId="56" xfId="0" applyFont="1" applyFill="1" applyBorder="1" applyAlignment="1">
      <alignment horizontal="center" vertical="center"/>
    </xf>
    <xf numFmtId="0" fontId="2" fillId="4" borderId="103" xfId="0" applyFont="1" applyFill="1" applyBorder="1" applyAlignment="1">
      <alignment vertical="center" wrapText="1"/>
    </xf>
    <xf numFmtId="0" fontId="0" fillId="0" borderId="221" xfId="0" applyBorder="1" applyAlignment="1">
      <alignment vertical="center"/>
    </xf>
    <xf numFmtId="0" fontId="0" fillId="0" borderId="3" xfId="0" applyBorder="1" applyAlignment="1">
      <alignment vertical="center"/>
    </xf>
    <xf numFmtId="0" fontId="9" fillId="0" borderId="19" xfId="0" applyFont="1" applyBorder="1" applyAlignment="1">
      <alignment vertical="center"/>
    </xf>
    <xf numFmtId="0" fontId="9" fillId="0" borderId="3" xfId="0" applyFont="1" applyBorder="1" applyAlignment="1">
      <alignment vertical="center"/>
    </xf>
    <xf numFmtId="0" fontId="9" fillId="0" borderId="3" xfId="0" applyFont="1" applyBorder="1" applyAlignment="1">
      <alignment horizontal="right" vertical="center"/>
    </xf>
    <xf numFmtId="0" fontId="0" fillId="0" borderId="19" xfId="0" applyBorder="1" applyAlignment="1">
      <alignment vertical="center"/>
    </xf>
    <xf numFmtId="0" fontId="0" fillId="0" borderId="4" xfId="0" applyBorder="1" applyAlignment="1">
      <alignment vertical="center"/>
    </xf>
    <xf numFmtId="0" fontId="9" fillId="0" borderId="4" xfId="0" applyFont="1" applyBorder="1" applyAlignment="1">
      <alignment vertical="center" wrapText="1"/>
    </xf>
    <xf numFmtId="0" fontId="9" fillId="0" borderId="16" xfId="0" applyFont="1" applyBorder="1" applyAlignment="1">
      <alignment horizontal="right" vertical="center"/>
    </xf>
    <xf numFmtId="0" fontId="102" fillId="0" borderId="16" xfId="0" applyFont="1" applyBorder="1" applyAlignment="1">
      <alignment horizontal="right" vertical="center"/>
    </xf>
    <xf numFmtId="0" fontId="12" fillId="0" borderId="16" xfId="0" applyFont="1" applyBorder="1"/>
    <xf numFmtId="0" fontId="77" fillId="0" borderId="16" xfId="0" applyFont="1" applyBorder="1" applyAlignment="1">
      <alignment horizontal="center" vertical="center"/>
    </xf>
    <xf numFmtId="0" fontId="77" fillId="0" borderId="16" xfId="0" applyFont="1" applyBorder="1" applyAlignment="1">
      <alignment vertical="center"/>
    </xf>
    <xf numFmtId="0" fontId="77" fillId="0" borderId="16" xfId="0" applyFont="1" applyBorder="1" applyAlignment="1">
      <alignment horizontal="right" vertical="center"/>
    </xf>
    <xf numFmtId="0" fontId="9" fillId="0" borderId="13" xfId="0" applyFont="1" applyBorder="1" applyAlignment="1">
      <alignment vertical="center" wrapText="1"/>
    </xf>
    <xf numFmtId="0" fontId="0" fillId="0" borderId="222" xfId="0" applyBorder="1" applyAlignment="1">
      <alignment vertical="center"/>
    </xf>
    <xf numFmtId="0" fontId="77" fillId="0" borderId="5" xfId="0" applyFont="1" applyBorder="1" applyAlignment="1">
      <alignment horizontal="right" vertical="center"/>
    </xf>
    <xf numFmtId="0" fontId="81" fillId="0" borderId="5" xfId="0" applyFont="1" applyBorder="1" applyAlignment="1">
      <alignment horizontal="right" vertical="center"/>
    </xf>
    <xf numFmtId="0" fontId="77" fillId="0" borderId="10" xfId="0" applyFont="1" applyBorder="1" applyAlignment="1">
      <alignment horizontal="center" vertical="center"/>
    </xf>
    <xf numFmtId="0" fontId="77" fillId="0" borderId="5" xfId="0" applyFont="1" applyBorder="1" applyAlignment="1">
      <alignment horizontal="center" vertical="center"/>
    </xf>
    <xf numFmtId="0" fontId="81" fillId="0" borderId="5" xfId="0" applyFont="1" applyBorder="1" applyAlignment="1">
      <alignment vertical="center"/>
    </xf>
    <xf numFmtId="0" fontId="12" fillId="0" borderId="54" xfId="0" applyFont="1" applyBorder="1" applyAlignment="1">
      <alignment vertical="center"/>
    </xf>
    <xf numFmtId="0" fontId="0" fillId="0" borderId="10" xfId="0" applyBorder="1" applyAlignment="1">
      <alignment vertical="center"/>
    </xf>
    <xf numFmtId="0" fontId="0" fillId="0" borderId="223" xfId="0" applyBorder="1" applyAlignment="1">
      <alignment vertical="center"/>
    </xf>
    <xf numFmtId="0" fontId="9" fillId="0" borderId="65" xfId="0" applyFont="1" applyBorder="1" applyAlignment="1">
      <alignment vertical="center" wrapText="1"/>
    </xf>
    <xf numFmtId="0" fontId="9" fillId="0" borderId="66" xfId="0" applyFont="1" applyBorder="1" applyAlignment="1">
      <alignment vertical="center" wrapText="1"/>
    </xf>
    <xf numFmtId="0" fontId="9" fillId="0" borderId="66" xfId="0" applyFont="1" applyBorder="1" applyAlignment="1">
      <alignment horizontal="center" vertical="center" wrapText="1"/>
    </xf>
    <xf numFmtId="0" fontId="12" fillId="0" borderId="5" xfId="0" applyFont="1" applyBorder="1"/>
    <xf numFmtId="0" fontId="0" fillId="0" borderId="224" xfId="0" applyBorder="1" applyAlignment="1">
      <alignment vertical="center"/>
    </xf>
    <xf numFmtId="0" fontId="77" fillId="0" borderId="42" xfId="0" applyFont="1" applyBorder="1" applyAlignment="1">
      <alignment horizontal="right" vertical="center"/>
    </xf>
    <xf numFmtId="0" fontId="77" fillId="0" borderId="8" xfId="0" applyFont="1" applyBorder="1" applyAlignment="1">
      <alignment horizontal="right" vertical="center"/>
    </xf>
    <xf numFmtId="0" fontId="77" fillId="0" borderId="8" xfId="0" applyFont="1" applyBorder="1" applyAlignment="1">
      <alignment horizontal="center" vertical="center"/>
    </xf>
    <xf numFmtId="0" fontId="82" fillId="0" borderId="8" xfId="0" applyFont="1" applyBorder="1" applyAlignment="1">
      <alignment vertical="center"/>
    </xf>
    <xf numFmtId="0" fontId="77" fillId="0" borderId="11" xfId="0" applyFont="1" applyBorder="1" applyAlignment="1">
      <alignment horizontal="left" vertical="center"/>
    </xf>
    <xf numFmtId="0" fontId="77" fillId="0" borderId="8" xfId="0" applyFont="1" applyBorder="1" applyAlignment="1">
      <alignment vertical="center"/>
    </xf>
    <xf numFmtId="0" fontId="3" fillId="0" borderId="24" xfId="0" applyFont="1" applyBorder="1" applyAlignment="1">
      <alignment horizontal="center" vertical="center"/>
    </xf>
    <xf numFmtId="0" fontId="77" fillId="0" borderId="23" xfId="0" applyFont="1" applyBorder="1" applyAlignment="1">
      <alignment horizontal="left" vertical="center"/>
    </xf>
    <xf numFmtId="0" fontId="75" fillId="0" borderId="45" xfId="0" applyFont="1" applyBorder="1" applyAlignment="1">
      <alignment horizontal="left" vertical="center"/>
    </xf>
    <xf numFmtId="0" fontId="77" fillId="0" borderId="45" xfId="0" applyFont="1" applyBorder="1" applyAlignment="1">
      <alignment horizontal="right" vertical="center"/>
    </xf>
    <xf numFmtId="0" fontId="81" fillId="0" borderId="45" xfId="0" applyFont="1" applyBorder="1" applyAlignment="1">
      <alignment horizontal="left" vertical="center"/>
    </xf>
    <xf numFmtId="0" fontId="81" fillId="0" borderId="45" xfId="0" applyFont="1" applyBorder="1" applyAlignment="1">
      <alignment horizontal="right" vertical="center"/>
    </xf>
    <xf numFmtId="0" fontId="77" fillId="0" borderId="45" xfId="0" applyFont="1" applyBorder="1" applyAlignment="1">
      <alignment horizontal="center" vertical="center"/>
    </xf>
    <xf numFmtId="0" fontId="82" fillId="0" borderId="45" xfId="0" applyFont="1" applyBorder="1" applyAlignment="1">
      <alignment vertical="center"/>
    </xf>
    <xf numFmtId="0" fontId="77" fillId="0" borderId="45" xfId="0" applyFont="1" applyBorder="1" applyAlignment="1">
      <alignment horizontal="left" vertical="center"/>
    </xf>
    <xf numFmtId="0" fontId="77" fillId="0" borderId="45" xfId="0" applyFont="1" applyBorder="1" applyAlignment="1">
      <alignment vertical="center"/>
    </xf>
    <xf numFmtId="0" fontId="3" fillId="0" borderId="45" xfId="0" applyFont="1" applyBorder="1" applyAlignment="1">
      <alignment horizontal="center" vertical="center" textRotation="90"/>
    </xf>
    <xf numFmtId="0" fontId="81" fillId="7" borderId="45" xfId="0" applyFont="1" applyFill="1" applyBorder="1" applyAlignment="1">
      <alignment horizontal="left" vertical="center"/>
    </xf>
    <xf numFmtId="0" fontId="325" fillId="0" borderId="12" xfId="0" applyFont="1" applyBorder="1" applyAlignment="1">
      <alignment horizontal="center" vertical="center" wrapText="1"/>
    </xf>
    <xf numFmtId="0" fontId="16" fillId="0" borderId="72" xfId="0" applyFont="1" applyBorder="1" applyAlignment="1">
      <alignment horizontal="center" vertical="center" wrapText="1"/>
    </xf>
    <xf numFmtId="0" fontId="0" fillId="0" borderId="78" xfId="0" applyBorder="1" applyAlignment="1">
      <alignment horizontal="center" vertical="center"/>
    </xf>
    <xf numFmtId="0" fontId="16" fillId="0" borderId="28" xfId="0" applyFont="1" applyBorder="1" applyAlignment="1">
      <alignment vertical="center" wrapText="1"/>
    </xf>
    <xf numFmtId="0" fontId="16" fillId="0" borderId="51" xfId="0" applyFont="1" applyBorder="1" applyAlignment="1">
      <alignment horizontal="center" vertical="center" wrapText="1"/>
    </xf>
    <xf numFmtId="0" fontId="325" fillId="0" borderId="76" xfId="0" applyFont="1" applyBorder="1" applyAlignment="1">
      <alignment horizontal="center" vertical="center" wrapText="1"/>
    </xf>
    <xf numFmtId="0" fontId="16" fillId="0" borderId="83" xfId="0" applyFont="1" applyBorder="1" applyAlignment="1">
      <alignment horizontal="center" vertical="center" wrapText="1"/>
    </xf>
    <xf numFmtId="0" fontId="9" fillId="0" borderId="22" xfId="0" applyFont="1" applyBorder="1" applyAlignment="1">
      <alignment horizontal="center" vertical="center" wrapText="1"/>
    </xf>
    <xf numFmtId="0" fontId="0" fillId="0" borderId="70" xfId="0" applyBorder="1" applyAlignment="1">
      <alignment vertical="center"/>
    </xf>
    <xf numFmtId="0" fontId="54" fillId="0" borderId="71" xfId="0" applyFont="1" applyBorder="1" applyAlignment="1">
      <alignment horizontal="left" vertical="center" wrapText="1"/>
    </xf>
    <xf numFmtId="0" fontId="12" fillId="0" borderId="0" xfId="0" applyFont="1" applyAlignment="1">
      <alignment horizontal="center" vertical="center" wrapText="1"/>
    </xf>
    <xf numFmtId="0" fontId="9" fillId="0" borderId="31" xfId="0" applyFont="1" applyBorder="1" applyAlignment="1">
      <alignment vertical="center" wrapText="1"/>
    </xf>
    <xf numFmtId="49" fontId="9" fillId="0" borderId="0" xfId="0" applyNumberFormat="1" applyFont="1" applyAlignment="1">
      <alignment horizontal="center" vertical="center" wrapText="1"/>
    </xf>
    <xf numFmtId="0" fontId="9" fillId="0" borderId="1" xfId="0" applyFont="1" applyBorder="1" applyAlignment="1">
      <alignment vertical="center" wrapText="1"/>
    </xf>
    <xf numFmtId="49" fontId="9" fillId="0" borderId="49" xfId="0" applyNumberFormat="1" applyFont="1" applyBorder="1" applyAlignment="1">
      <alignment horizontal="center" vertical="center" wrapText="1"/>
    </xf>
    <xf numFmtId="0" fontId="9" fillId="0" borderId="73" xfId="0" applyFont="1" applyBorder="1" applyAlignment="1">
      <alignment horizontal="center" vertical="center" wrapText="1"/>
    </xf>
    <xf numFmtId="0" fontId="3" fillId="0" borderId="68" xfId="0" applyFont="1" applyBorder="1" applyAlignment="1">
      <alignment horizontal="center" vertical="center" textRotation="90" wrapText="1"/>
    </xf>
    <xf numFmtId="0" fontId="28" fillId="4" borderId="45" xfId="0" applyFont="1" applyFill="1" applyBorder="1" applyAlignment="1">
      <alignment horizontal="center" vertical="center" wrapText="1"/>
    </xf>
    <xf numFmtId="0" fontId="22" fillId="4" borderId="92" xfId="0" applyFont="1" applyFill="1" applyBorder="1" applyAlignment="1">
      <alignment horizontal="right" wrapText="1"/>
    </xf>
    <xf numFmtId="0" fontId="21" fillId="4" borderId="104" xfId="0" applyFont="1" applyFill="1" applyBorder="1" applyAlignment="1">
      <alignment wrapText="1"/>
    </xf>
    <xf numFmtId="49" fontId="39" fillId="0" borderId="0" xfId="0" applyNumberFormat="1" applyFont="1" applyAlignment="1">
      <alignment horizontal="center" wrapText="1"/>
    </xf>
    <xf numFmtId="0" fontId="3" fillId="0" borderId="69" xfId="0" applyFont="1" applyBorder="1" applyAlignment="1">
      <alignment horizontal="center" vertical="center" textRotation="90" wrapText="1"/>
    </xf>
    <xf numFmtId="0" fontId="21" fillId="4" borderId="24" xfId="0" applyFont="1" applyFill="1" applyBorder="1" applyAlignment="1">
      <alignment wrapText="1"/>
    </xf>
    <xf numFmtId="0" fontId="49" fillId="4" borderId="73" xfId="0" applyFont="1" applyFill="1" applyBorder="1" applyAlignment="1">
      <alignment horizontal="center" wrapText="1"/>
    </xf>
    <xf numFmtId="0" fontId="49" fillId="4" borderId="23" xfId="0" applyFont="1" applyFill="1" applyBorder="1" applyAlignment="1">
      <alignment horizontal="center" wrapText="1"/>
    </xf>
    <xf numFmtId="0" fontId="0" fillId="0" borderId="32" xfId="0" applyBorder="1" applyAlignment="1">
      <alignment vertical="center"/>
    </xf>
    <xf numFmtId="0" fontId="113" fillId="0" borderId="63" xfId="0" applyFont="1" applyBorder="1" applyAlignment="1">
      <alignment horizontal="center" vertical="center"/>
    </xf>
    <xf numFmtId="0" fontId="157" fillId="0" borderId="49" xfId="0" applyFont="1" applyBorder="1" applyAlignment="1">
      <alignment horizontal="center" vertical="center"/>
    </xf>
    <xf numFmtId="49" fontId="9" fillId="2" borderId="0" xfId="0" applyNumberFormat="1" applyFont="1" applyFill="1" applyAlignment="1">
      <alignment horizontal="center"/>
    </xf>
    <xf numFmtId="0" fontId="113" fillId="0" borderId="69" xfId="0" applyFont="1" applyBorder="1" applyAlignment="1">
      <alignment horizontal="center" vertical="center"/>
    </xf>
    <xf numFmtId="0" fontId="9" fillId="0" borderId="11" xfId="0" applyFont="1" applyBorder="1" applyAlignment="1">
      <alignment horizontal="center" vertical="center" wrapText="1"/>
    </xf>
    <xf numFmtId="0" fontId="0" fillId="0" borderId="106" xfId="0" applyBorder="1" applyAlignment="1">
      <alignment vertical="center"/>
    </xf>
    <xf numFmtId="0" fontId="20" fillId="0" borderId="0" xfId="0" applyFont="1" applyAlignment="1">
      <alignment vertical="center" wrapText="1"/>
    </xf>
    <xf numFmtId="0" fontId="22" fillId="0" borderId="84" xfId="0" applyFont="1" applyBorder="1" applyAlignment="1">
      <alignment vertical="center" wrapText="1"/>
    </xf>
    <xf numFmtId="0" fontId="2" fillId="4" borderId="83"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8" xfId="0" applyFont="1" applyBorder="1" applyAlignment="1">
      <alignment vertical="center" wrapText="1"/>
    </xf>
    <xf numFmtId="0" fontId="9" fillId="0" borderId="8" xfId="0" applyFont="1" applyBorder="1" applyAlignment="1">
      <alignment horizontal="center" vertical="center" wrapText="1"/>
    </xf>
    <xf numFmtId="0" fontId="9" fillId="0" borderId="23" xfId="0" applyFont="1" applyBorder="1" applyAlignment="1">
      <alignment horizontal="center" vertical="center" wrapText="1"/>
    </xf>
    <xf numFmtId="0" fontId="14" fillId="4" borderId="102" xfId="0" applyFont="1" applyFill="1" applyBorder="1" applyAlignment="1">
      <alignment vertical="center"/>
    </xf>
    <xf numFmtId="0" fontId="14" fillId="4" borderId="83" xfId="0" applyFont="1" applyFill="1" applyBorder="1" applyAlignment="1">
      <alignment vertical="center" wrapText="1"/>
    </xf>
    <xf numFmtId="0" fontId="16" fillId="0" borderId="0" xfId="0" applyFont="1" applyAlignment="1">
      <alignment horizontal="center" vertical="center"/>
    </xf>
    <xf numFmtId="0" fontId="16" fillId="0" borderId="21" xfId="0" applyFont="1" applyBorder="1" applyAlignment="1">
      <alignment horizontal="left" vertical="center" wrapText="1"/>
    </xf>
    <xf numFmtId="0" fontId="16" fillId="0" borderId="3" xfId="0" applyFont="1" applyBorder="1" applyAlignment="1">
      <alignment horizontal="left" vertical="center" wrapText="1"/>
    </xf>
    <xf numFmtId="0" fontId="3" fillId="0" borderId="4" xfId="0" applyFont="1" applyBorder="1" applyAlignment="1">
      <alignment vertical="center"/>
    </xf>
    <xf numFmtId="0" fontId="16" fillId="0" borderId="10" xfId="0" applyFont="1" applyBorder="1" applyAlignment="1">
      <alignment horizontal="left" vertical="center" wrapText="1"/>
    </xf>
    <xf numFmtId="0" fontId="16" fillId="0" borderId="5" xfId="0" applyFont="1" applyBorder="1" applyAlignment="1">
      <alignment horizontal="left" vertical="center" wrapText="1"/>
    </xf>
    <xf numFmtId="0" fontId="3" fillId="0" borderId="13" xfId="0" applyFont="1" applyBorder="1" applyAlignment="1">
      <alignment vertical="center"/>
    </xf>
    <xf numFmtId="0" fontId="325" fillId="0" borderId="125" xfId="0" applyFont="1" applyBorder="1" applyAlignment="1">
      <alignment horizontal="center" vertical="center" wrapText="1"/>
    </xf>
    <xf numFmtId="0" fontId="16" fillId="0" borderId="162" xfId="0" applyFont="1" applyBorder="1" applyAlignment="1">
      <alignment vertical="center" wrapText="1"/>
    </xf>
    <xf numFmtId="0" fontId="16" fillId="0" borderId="38" xfId="0" applyFont="1" applyBorder="1" applyAlignment="1">
      <alignment horizontal="left" vertical="center" wrapText="1"/>
    </xf>
    <xf numFmtId="0" fontId="16" fillId="0" borderId="65" xfId="0" applyFont="1" applyBorder="1" applyAlignment="1">
      <alignment horizontal="left" vertical="center" wrapText="1"/>
    </xf>
    <xf numFmtId="0" fontId="3" fillId="0" borderId="66" xfId="0" applyFont="1" applyBorder="1" applyAlignment="1">
      <alignment vertical="center"/>
    </xf>
    <xf numFmtId="0" fontId="16" fillId="0" borderId="0" xfId="0" applyFont="1" applyAlignment="1">
      <alignment horizontal="center" vertical="center" wrapText="1"/>
    </xf>
    <xf numFmtId="0" fontId="12" fillId="0" borderId="6" xfId="0" applyFont="1" applyBorder="1" applyAlignment="1">
      <alignment horizontal="center" vertical="center" wrapText="1"/>
    </xf>
    <xf numFmtId="0" fontId="9" fillId="0" borderId="16" xfId="0" applyFont="1" applyBorder="1" applyAlignment="1">
      <alignment vertical="center" wrapText="1"/>
    </xf>
    <xf numFmtId="0" fontId="9" fillId="0" borderId="12" xfId="0" applyFont="1" applyBorder="1" applyAlignment="1">
      <alignment horizontal="right" vertical="center"/>
    </xf>
    <xf numFmtId="0" fontId="143" fillId="0" borderId="6" xfId="0" applyFont="1" applyBorder="1" applyAlignment="1">
      <alignment horizontal="center" vertical="center" wrapText="1"/>
    </xf>
    <xf numFmtId="0" fontId="9" fillId="0" borderId="10" xfId="0" applyFont="1" applyBorder="1" applyAlignment="1">
      <alignment horizontal="center" vertical="center"/>
    </xf>
    <xf numFmtId="0" fontId="431" fillId="0" borderId="5" xfId="0" applyFont="1" applyBorder="1" applyAlignment="1">
      <alignment vertical="center" wrapText="1"/>
    </xf>
    <xf numFmtId="0" fontId="9" fillId="8" borderId="159" xfId="0" applyFont="1" applyFill="1" applyBorder="1" applyAlignment="1">
      <alignment horizontal="center" vertical="center"/>
    </xf>
    <xf numFmtId="0" fontId="9" fillId="0" borderId="9" xfId="0" applyFont="1" applyBorder="1" applyAlignment="1">
      <alignment horizontal="center" vertical="center"/>
    </xf>
    <xf numFmtId="0" fontId="9" fillId="8" borderId="24" xfId="0" applyFont="1" applyFill="1" applyBorder="1" applyAlignment="1">
      <alignment horizontal="center" vertical="center"/>
    </xf>
    <xf numFmtId="0" fontId="9" fillId="0" borderId="45" xfId="0" applyFont="1" applyBorder="1" applyAlignment="1">
      <alignment horizontal="center" vertical="top"/>
    </xf>
    <xf numFmtId="0" fontId="9" fillId="0" borderId="0" xfId="0" applyFont="1" applyAlignment="1">
      <alignment horizontal="center" wrapText="1"/>
    </xf>
    <xf numFmtId="0" fontId="22" fillId="0" borderId="0" xfId="0" applyFont="1" applyAlignment="1">
      <alignment vertical="center" wrapText="1"/>
    </xf>
    <xf numFmtId="0" fontId="9" fillId="0" borderId="24" xfId="0" applyFont="1" applyBorder="1" applyAlignment="1">
      <alignment horizontal="center" vertical="top"/>
    </xf>
    <xf numFmtId="0" fontId="30" fillId="0" borderId="0" xfId="0" applyFont="1" applyAlignment="1">
      <alignment horizontal="center"/>
    </xf>
    <xf numFmtId="0" fontId="36" fillId="0" borderId="0" xfId="0" applyFont="1" applyAlignment="1">
      <alignment horizontal="left" vertical="center"/>
    </xf>
    <xf numFmtId="0" fontId="3" fillId="0" borderId="0" xfId="0" applyFont="1"/>
    <xf numFmtId="0" fontId="3" fillId="0" borderId="0" xfId="0" applyFont="1" applyAlignment="1">
      <alignment horizontal="center"/>
    </xf>
    <xf numFmtId="0" fontId="9" fillId="0" borderId="0" xfId="0" applyFont="1" applyAlignment="1">
      <alignment horizontal="left"/>
    </xf>
    <xf numFmtId="0" fontId="36" fillId="0" borderId="0" xfId="0" applyFont="1" applyAlignment="1">
      <alignment horizontal="center" vertical="center"/>
    </xf>
    <xf numFmtId="0" fontId="143" fillId="0" borderId="13" xfId="0" applyFont="1" applyBorder="1" applyAlignment="1">
      <alignment horizontal="center" vertical="center" wrapText="1"/>
    </xf>
    <xf numFmtId="0" fontId="0" fillId="0" borderId="82" xfId="0" applyBorder="1" applyAlignment="1">
      <alignment vertical="center"/>
    </xf>
    <xf numFmtId="0" fontId="9" fillId="0" borderId="136" xfId="0" applyFont="1" applyBorder="1" applyAlignment="1">
      <alignment horizontal="center" vertical="center" wrapText="1"/>
    </xf>
    <xf numFmtId="0" fontId="9" fillId="0" borderId="71" xfId="0" applyFont="1" applyBorder="1" applyAlignment="1">
      <alignment vertical="center" wrapText="1"/>
    </xf>
    <xf numFmtId="0" fontId="9" fillId="0" borderId="212" xfId="0" applyFont="1" applyBorder="1" applyAlignment="1">
      <alignment vertical="center" wrapText="1"/>
    </xf>
    <xf numFmtId="0" fontId="9" fillId="0" borderId="212" xfId="0" applyFont="1" applyBorder="1" applyAlignment="1">
      <alignment horizontal="center" vertical="center" wrapText="1"/>
    </xf>
    <xf numFmtId="0" fontId="9" fillId="0" borderId="213" xfId="0" applyFont="1" applyBorder="1" applyAlignment="1">
      <alignment horizontal="center" vertical="center" wrapText="1"/>
    </xf>
    <xf numFmtId="0" fontId="9" fillId="0" borderId="134" xfId="0" applyFont="1" applyBorder="1" applyAlignment="1">
      <alignment horizontal="center" vertical="center" wrapText="1"/>
    </xf>
    <xf numFmtId="0" fontId="6" fillId="0" borderId="214" xfId="0" applyFont="1" applyBorder="1" applyAlignment="1">
      <alignment horizontal="center" vertical="center" wrapText="1"/>
    </xf>
    <xf numFmtId="0" fontId="6" fillId="0" borderId="134" xfId="0" applyFont="1" applyBorder="1" applyAlignment="1">
      <alignment horizontal="center" vertical="center" wrapText="1"/>
    </xf>
    <xf numFmtId="0" fontId="6" fillId="0" borderId="156" xfId="0" applyFont="1" applyBorder="1" applyAlignment="1">
      <alignment horizontal="center" vertical="center" wrapText="1"/>
    </xf>
    <xf numFmtId="0" fontId="9" fillId="0" borderId="28" xfId="0" applyFont="1" applyBorder="1" applyAlignment="1">
      <alignment horizontal="center" vertical="center"/>
    </xf>
    <xf numFmtId="0" fontId="0" fillId="0" borderId="112" xfId="0" applyBorder="1" applyAlignment="1">
      <alignment vertical="center"/>
    </xf>
    <xf numFmtId="0" fontId="9" fillId="4" borderId="103" xfId="0" applyFont="1" applyFill="1" applyBorder="1" applyAlignment="1">
      <alignment horizontal="center" vertical="center" wrapText="1"/>
    </xf>
    <xf numFmtId="0" fontId="136" fillId="0" borderId="21" xfId="0" applyFont="1" applyBorder="1" applyAlignment="1">
      <alignment horizontal="right" vertical="center"/>
    </xf>
    <xf numFmtId="17" fontId="9" fillId="0" borderId="18" xfId="0" applyNumberFormat="1" applyFont="1" applyBorder="1" applyAlignment="1">
      <alignment horizontal="center" vertical="center" wrapText="1"/>
    </xf>
    <xf numFmtId="0" fontId="136" fillId="0" borderId="10" xfId="0" applyFont="1" applyBorder="1" applyAlignment="1">
      <alignment horizontal="right" vertical="center"/>
    </xf>
    <xf numFmtId="0" fontId="136" fillId="0" borderId="9" xfId="0" applyFont="1" applyBorder="1" applyAlignment="1">
      <alignment horizontal="right" vertical="center"/>
    </xf>
    <xf numFmtId="0" fontId="77" fillId="0" borderId="0" xfId="0" applyFont="1" applyAlignment="1">
      <alignment horizontal="center" vertical="center"/>
    </xf>
    <xf numFmtId="0" fontId="12" fillId="0" borderId="0" xfId="0" applyFont="1"/>
    <xf numFmtId="0" fontId="77" fillId="0" borderId="0" xfId="0" applyFont="1" applyAlignment="1">
      <alignment horizontal="right" vertical="center"/>
    </xf>
    <xf numFmtId="0" fontId="81" fillId="0" borderId="0" xfId="0" applyFont="1" applyAlignment="1">
      <alignment horizontal="left" vertical="center"/>
    </xf>
    <xf numFmtId="0" fontId="3" fillId="0" borderId="0" xfId="0" applyFont="1" applyAlignment="1">
      <alignment horizontal="center" vertical="center" textRotation="90"/>
    </xf>
    <xf numFmtId="0" fontId="136" fillId="0" borderId="14" xfId="0" applyFont="1" applyBorder="1" applyAlignment="1">
      <alignment horizontal="right" vertical="center"/>
    </xf>
    <xf numFmtId="16" fontId="9" fillId="0" borderId="18" xfId="0" applyNumberFormat="1" applyFont="1" applyBorder="1" applyAlignment="1">
      <alignment horizontal="center" vertical="center" wrapText="1"/>
    </xf>
    <xf numFmtId="0" fontId="0" fillId="0" borderId="59" xfId="0" applyBorder="1" applyAlignment="1">
      <alignment vertical="center"/>
    </xf>
    <xf numFmtId="17" fontId="9" fillId="0" borderId="22" xfId="0" applyNumberFormat="1" applyFont="1" applyBorder="1" applyAlignment="1">
      <alignment horizontal="center" vertical="center" wrapText="1"/>
    </xf>
    <xf numFmtId="0" fontId="0" fillId="0" borderId="86" xfId="0" applyBorder="1" applyAlignment="1">
      <alignment vertical="center"/>
    </xf>
    <xf numFmtId="0" fontId="0" fillId="0" borderId="226" xfId="0" applyBorder="1" applyAlignment="1">
      <alignment vertical="center"/>
    </xf>
    <xf numFmtId="17" fontId="9" fillId="0" borderId="0" xfId="0" applyNumberFormat="1" applyFont="1" applyAlignment="1">
      <alignment horizontal="center" vertical="center" wrapText="1"/>
    </xf>
    <xf numFmtId="0" fontId="32" fillId="0" borderId="0" xfId="0" applyFont="1" applyAlignment="1">
      <alignment vertical="center"/>
    </xf>
    <xf numFmtId="0" fontId="9" fillId="0" borderId="57" xfId="0" applyFont="1" applyBorder="1" applyAlignment="1">
      <alignment vertical="center" wrapText="1"/>
    </xf>
    <xf numFmtId="0" fontId="137" fillId="0" borderId="0" xfId="0" applyFont="1" applyAlignment="1">
      <alignment horizontal="left" vertical="center"/>
    </xf>
    <xf numFmtId="0" fontId="134" fillId="0" borderId="0" xfId="0" applyFont="1" applyAlignment="1">
      <alignment horizontal="left"/>
    </xf>
    <xf numFmtId="0" fontId="84" fillId="0" borderId="0" xfId="0" applyFont="1" applyAlignment="1">
      <alignment horizontal="center" vertical="center"/>
    </xf>
    <xf numFmtId="0" fontId="1" fillId="0" borderId="68" xfId="0" applyFont="1" applyBorder="1" applyAlignment="1">
      <alignment horizontal="center" vertical="center"/>
    </xf>
    <xf numFmtId="0" fontId="9" fillId="0" borderId="40" xfId="0" applyFont="1" applyBorder="1" applyAlignment="1">
      <alignment vertical="center"/>
    </xf>
    <xf numFmtId="2" fontId="9" fillId="0" borderId="36" xfId="0" applyNumberFormat="1" applyFont="1" applyBorder="1" applyAlignment="1">
      <alignment horizontal="left" vertical="center" wrapText="1"/>
    </xf>
    <xf numFmtId="0" fontId="9" fillId="0" borderId="229" xfId="0" applyFont="1" applyBorder="1" applyAlignment="1">
      <alignment vertical="center"/>
    </xf>
    <xf numFmtId="0" fontId="77" fillId="0" borderId="16" xfId="0" applyFont="1" applyBorder="1" applyAlignment="1">
      <alignment horizontal="justify" vertical="center" wrapText="1"/>
    </xf>
    <xf numFmtId="0" fontId="77" fillId="0" borderId="19" xfId="0" applyFont="1" applyBorder="1" applyAlignment="1">
      <alignment horizontal="justify" vertical="center" wrapText="1"/>
    </xf>
    <xf numFmtId="0" fontId="47" fillId="0" borderId="0" xfId="0" applyFont="1" applyAlignment="1">
      <alignment horizontal="center" vertical="center"/>
    </xf>
    <xf numFmtId="0" fontId="1" fillId="0" borderId="63" xfId="0" applyFont="1" applyBorder="1" applyAlignment="1">
      <alignment horizontal="center" vertical="center"/>
    </xf>
    <xf numFmtId="0" fontId="9" fillId="0" borderId="54" xfId="0" applyFont="1" applyBorder="1" applyAlignment="1">
      <alignment vertical="center"/>
    </xf>
    <xf numFmtId="0" fontId="9" fillId="0" borderId="5" xfId="0" applyFont="1" applyBorder="1" applyAlignment="1">
      <alignment horizontal="left" vertical="top"/>
    </xf>
    <xf numFmtId="2" fontId="9" fillId="0" borderId="32" xfId="0" applyNumberFormat="1" applyFont="1" applyBorder="1" applyAlignment="1">
      <alignment horizontal="left" vertical="center" wrapText="1"/>
    </xf>
    <xf numFmtId="0" fontId="9" fillId="0" borderId="230" xfId="0" applyFont="1" applyBorder="1" applyAlignment="1">
      <alignment vertical="center"/>
    </xf>
    <xf numFmtId="0" fontId="84" fillId="0" borderId="16" xfId="0" applyFont="1" applyBorder="1" applyAlignment="1">
      <alignment horizontal="center" vertical="center" wrapText="1"/>
    </xf>
    <xf numFmtId="0" fontId="84" fillId="0" borderId="6" xfId="0" applyFont="1" applyBorder="1" applyAlignment="1">
      <alignment horizontal="center" vertical="center" wrapText="1"/>
    </xf>
    <xf numFmtId="0" fontId="3" fillId="0" borderId="13" xfId="0" applyFont="1" applyBorder="1" applyAlignment="1">
      <alignment horizontal="center" vertical="center"/>
    </xf>
    <xf numFmtId="2" fontId="9" fillId="0" borderId="34" xfId="0" applyNumberFormat="1" applyFont="1" applyBorder="1" applyAlignment="1">
      <alignment horizontal="left" vertical="center" wrapText="1"/>
    </xf>
    <xf numFmtId="0" fontId="0" fillId="0" borderId="5" xfId="0" applyBorder="1" applyAlignment="1">
      <alignment vertical="center"/>
    </xf>
    <xf numFmtId="0" fontId="0" fillId="0" borderId="12" xfId="0" applyBorder="1" applyAlignment="1">
      <alignment vertical="center"/>
    </xf>
    <xf numFmtId="0" fontId="146" fillId="25" borderId="0" xfId="0" applyFont="1" applyFill="1" applyAlignment="1">
      <alignment horizontal="left" vertical="center"/>
    </xf>
    <xf numFmtId="0" fontId="1" fillId="0" borderId="69" xfId="0" applyFont="1" applyBorder="1" applyAlignment="1">
      <alignment horizontal="center" vertical="center"/>
    </xf>
    <xf numFmtId="0" fontId="9" fillId="0" borderId="42" xfId="0" applyFont="1" applyBorder="1" applyAlignment="1">
      <alignment vertical="center"/>
    </xf>
    <xf numFmtId="0" fontId="9" fillId="0" borderId="24" xfId="0" applyFont="1" applyBorder="1" applyAlignment="1">
      <alignment horizontal="center" vertical="center"/>
    </xf>
    <xf numFmtId="165" fontId="9" fillId="0" borderId="33" xfId="0" applyNumberFormat="1" applyFont="1" applyBorder="1" applyAlignment="1">
      <alignment horizontal="left" vertical="center" wrapText="1"/>
    </xf>
    <xf numFmtId="0" fontId="9" fillId="0" borderId="232" xfId="0" applyFont="1" applyBorder="1" applyAlignment="1">
      <alignment vertical="center"/>
    </xf>
    <xf numFmtId="0" fontId="77" fillId="0" borderId="65" xfId="0" applyFont="1" applyBorder="1" applyAlignment="1">
      <alignment horizontal="justify" vertical="center" wrapText="1"/>
    </xf>
    <xf numFmtId="0" fontId="77" fillId="0" borderId="53" xfId="0" applyFont="1" applyBorder="1" applyAlignment="1">
      <alignment horizontal="justify" vertical="center" wrapText="1"/>
    </xf>
    <xf numFmtId="0" fontId="3" fillId="0" borderId="66" xfId="0" applyFont="1" applyBorder="1" applyAlignment="1">
      <alignment horizontal="center" vertical="center"/>
    </xf>
    <xf numFmtId="0" fontId="50" fillId="0" borderId="235" xfId="0" applyFont="1" applyBorder="1"/>
    <xf numFmtId="0" fontId="0" fillId="0" borderId="17" xfId="0" applyBorder="1" applyAlignment="1">
      <alignment vertical="center"/>
    </xf>
    <xf numFmtId="0" fontId="50" fillId="0" borderId="17" xfId="0" applyFont="1" applyBorder="1" applyAlignment="1">
      <alignment vertical="center"/>
    </xf>
    <xf numFmtId="0" fontId="50" fillId="0" borderId="211" xfId="0" applyFont="1" applyBorder="1" applyAlignment="1">
      <alignment vertical="center"/>
    </xf>
    <xf numFmtId="0" fontId="77" fillId="0" borderId="0" xfId="0" applyFont="1" applyAlignment="1">
      <alignment horizontal="justify" vertical="center" wrapText="1"/>
    </xf>
    <xf numFmtId="0" fontId="74" fillId="0" borderId="0" xfId="0" applyFont="1" applyAlignment="1">
      <alignment horizontal="center" vertical="center" wrapText="1"/>
    </xf>
    <xf numFmtId="0" fontId="141" fillId="0" borderId="0" xfId="0" applyFont="1" applyAlignment="1">
      <alignment horizontal="center" vertical="center" wrapText="1"/>
    </xf>
    <xf numFmtId="2" fontId="141" fillId="0" borderId="0" xfId="0" applyNumberFormat="1" applyFont="1" applyAlignment="1">
      <alignment horizontal="center"/>
    </xf>
    <xf numFmtId="165" fontId="3" fillId="0" borderId="0" xfId="0" applyNumberFormat="1" applyFont="1" applyAlignment="1">
      <alignment horizontal="center"/>
    </xf>
    <xf numFmtId="0" fontId="1" fillId="0" borderId="106" xfId="0" applyFont="1" applyBorder="1" applyAlignment="1">
      <alignment horizontal="center" vertical="center"/>
    </xf>
    <xf numFmtId="0" fontId="136" fillId="0" borderId="0" xfId="0" applyFont="1" applyAlignment="1">
      <alignment horizontal="right" vertical="center"/>
    </xf>
    <xf numFmtId="165" fontId="9" fillId="0" borderId="132" xfId="0" applyNumberFormat="1" applyFont="1" applyBorder="1" applyAlignment="1">
      <alignment horizontal="center" vertical="center" wrapText="1"/>
    </xf>
    <xf numFmtId="0" fontId="4" fillId="0" borderId="0" xfId="0" applyFont="1"/>
    <xf numFmtId="0" fontId="362" fillId="0" borderId="58" xfId="0" applyFont="1" applyBorder="1" applyAlignment="1">
      <alignment horizontal="center" vertical="center" wrapText="1"/>
    </xf>
    <xf numFmtId="0" fontId="361" fillId="0" borderId="0" xfId="0" applyFont="1" applyAlignment="1">
      <alignment horizontal="right" vertical="center"/>
    </xf>
    <xf numFmtId="189" fontId="49" fillId="0" borderId="0" xfId="0" applyNumberFormat="1" applyFont="1" applyAlignment="1">
      <alignment horizontal="left" vertical="center"/>
    </xf>
    <xf numFmtId="0" fontId="0" fillId="0" borderId="84" xfId="0" applyBorder="1" applyAlignment="1">
      <alignment horizontal="center" vertical="center"/>
    </xf>
    <xf numFmtId="0" fontId="0" fillId="0" borderId="130" xfId="0" applyBorder="1" applyAlignment="1">
      <alignment vertical="center"/>
    </xf>
    <xf numFmtId="0" fontId="0" fillId="0" borderId="133" xfId="0" applyBorder="1" applyAlignment="1">
      <alignment vertical="center"/>
    </xf>
    <xf numFmtId="0" fontId="2" fillId="4" borderId="100" xfId="0" applyFont="1" applyFill="1" applyBorder="1" applyAlignment="1">
      <alignment horizontal="center" vertical="center" wrapText="1"/>
    </xf>
    <xf numFmtId="0" fontId="2" fillId="4" borderId="104" xfId="0" applyFont="1" applyFill="1" applyBorder="1" applyAlignment="1">
      <alignment vertical="center" wrapText="1"/>
    </xf>
    <xf numFmtId="0" fontId="0" fillId="0" borderId="234" xfId="0" applyBorder="1" applyAlignment="1">
      <alignment vertical="center"/>
    </xf>
    <xf numFmtId="0" fontId="1" fillId="0" borderId="3" xfId="0" applyFont="1" applyBorder="1" applyAlignment="1">
      <alignment vertical="center"/>
    </xf>
    <xf numFmtId="0" fontId="1" fillId="0" borderId="36" xfId="0" applyFont="1" applyBorder="1" applyAlignment="1">
      <alignment vertical="center"/>
    </xf>
    <xf numFmtId="0" fontId="9" fillId="0" borderId="16" xfId="0" applyFont="1" applyBorder="1"/>
    <xf numFmtId="0" fontId="0" fillId="0" borderId="34" xfId="0" applyBorder="1" applyAlignment="1">
      <alignment vertical="center"/>
    </xf>
    <xf numFmtId="0" fontId="75" fillId="0" borderId="5" xfId="0" applyFont="1" applyBorder="1" applyAlignment="1">
      <alignment horizontal="right" vertical="center"/>
    </xf>
    <xf numFmtId="0" fontId="75" fillId="0" borderId="5" xfId="0" applyFont="1" applyBorder="1" applyAlignment="1">
      <alignment vertical="center"/>
    </xf>
    <xf numFmtId="0" fontId="1" fillId="0" borderId="10" xfId="0" applyFont="1" applyBorder="1" applyAlignment="1">
      <alignment vertical="center"/>
    </xf>
    <xf numFmtId="0" fontId="9" fillId="0" borderId="87" xfId="0" applyFont="1" applyBorder="1" applyAlignment="1">
      <alignment horizontal="center" vertical="center" wrapText="1"/>
    </xf>
    <xf numFmtId="0" fontId="9" fillId="0" borderId="5" xfId="0" applyFont="1" applyBorder="1"/>
    <xf numFmtId="0" fontId="77" fillId="0" borderId="90" xfId="0" applyFont="1" applyBorder="1" applyAlignment="1">
      <alignment horizontal="right" vertical="center"/>
    </xf>
    <xf numFmtId="0" fontId="77" fillId="0" borderId="65" xfId="0" applyFont="1" applyBorder="1" applyAlignment="1">
      <alignment horizontal="right" vertical="center"/>
    </xf>
    <xf numFmtId="0" fontId="77" fillId="0" borderId="65" xfId="0" applyFont="1" applyBorder="1" applyAlignment="1">
      <alignment horizontal="center" vertical="center"/>
    </xf>
    <xf numFmtId="0" fontId="77" fillId="0" borderId="65" xfId="0" applyFont="1" applyBorder="1" applyAlignment="1">
      <alignment vertical="center"/>
    </xf>
    <xf numFmtId="0" fontId="77" fillId="0" borderId="53" xfId="0" applyFont="1" applyBorder="1" applyAlignment="1">
      <alignment horizontal="left" vertical="center"/>
    </xf>
    <xf numFmtId="0" fontId="3" fillId="0" borderId="57" xfId="0" applyFont="1" applyBorder="1" applyAlignment="1">
      <alignment horizontal="center" vertical="center"/>
    </xf>
    <xf numFmtId="0" fontId="77" fillId="0" borderId="66" xfId="0" applyFont="1" applyBorder="1" applyAlignment="1">
      <alignment horizontal="left" vertical="center"/>
    </xf>
    <xf numFmtId="0" fontId="2" fillId="31" borderId="100" xfId="0" applyFont="1" applyFill="1" applyBorder="1" applyAlignment="1">
      <alignment horizontal="center" vertical="center"/>
    </xf>
    <xf numFmtId="0" fontId="2" fillId="31" borderId="24" xfId="0" applyFont="1" applyFill="1" applyBorder="1" applyAlignment="1">
      <alignment vertical="center"/>
    </xf>
    <xf numFmtId="0" fontId="0" fillId="31" borderId="24" xfId="0" applyFill="1" applyBorder="1" applyAlignment="1">
      <alignment vertical="center"/>
    </xf>
    <xf numFmtId="0" fontId="0" fillId="31" borderId="101" xfId="0" applyFill="1" applyBorder="1" applyAlignment="1">
      <alignment vertical="center"/>
    </xf>
    <xf numFmtId="0" fontId="0" fillId="31" borderId="147" xfId="0" applyFill="1" applyBorder="1" applyAlignment="1">
      <alignment vertical="center"/>
    </xf>
    <xf numFmtId="0" fontId="9" fillId="0" borderId="51" xfId="0" applyFont="1" applyBorder="1" applyAlignment="1">
      <alignment horizontal="left" vertical="center"/>
    </xf>
    <xf numFmtId="0" fontId="77" fillId="0" borderId="0" xfId="0" applyFont="1" applyAlignment="1">
      <alignment horizontal="left" vertical="center"/>
    </xf>
    <xf numFmtId="0" fontId="77" fillId="0" borderId="0" xfId="0" applyFont="1" applyAlignment="1">
      <alignment vertical="center"/>
    </xf>
    <xf numFmtId="0" fontId="9" fillId="0" borderId="0" xfId="0" applyFont="1" applyAlignment="1">
      <alignment vertical="center" textRotation="90"/>
    </xf>
    <xf numFmtId="0" fontId="0" fillId="0" borderId="28" xfId="0" applyBorder="1" applyAlignment="1">
      <alignment vertical="center"/>
    </xf>
    <xf numFmtId="0" fontId="0" fillId="0" borderId="75" xfId="0" applyBorder="1" applyAlignment="1">
      <alignment vertical="center"/>
    </xf>
    <xf numFmtId="0" fontId="2" fillId="0" borderId="21" xfId="0" applyFont="1" applyBorder="1" applyAlignment="1">
      <alignment horizontal="center" vertical="center"/>
    </xf>
    <xf numFmtId="0" fontId="2" fillId="0" borderId="19" xfId="0" applyFont="1" applyBorder="1" applyAlignment="1">
      <alignment horizontal="center" vertical="center"/>
    </xf>
    <xf numFmtId="0" fontId="2" fillId="0" borderId="51" xfId="0" applyFont="1" applyBorder="1" applyAlignment="1">
      <alignment horizontal="center" vertical="center"/>
    </xf>
    <xf numFmtId="0" fontId="80" fillId="0" borderId="0" xfId="0" applyFont="1"/>
    <xf numFmtId="0" fontId="0" fillId="0" borderId="51" xfId="0" applyBorder="1" applyAlignment="1">
      <alignment vertical="center"/>
    </xf>
    <xf numFmtId="0" fontId="9" fillId="0" borderId="12" xfId="0" applyFont="1" applyBorder="1" applyAlignment="1">
      <alignment horizontal="center" vertical="center"/>
    </xf>
    <xf numFmtId="0" fontId="82" fillId="0" borderId="0" xfId="0" applyFont="1" applyAlignment="1">
      <alignment horizontal="right" vertical="center"/>
    </xf>
    <xf numFmtId="0" fontId="103" fillId="0" borderId="0" xfId="0" applyFont="1"/>
    <xf numFmtId="0" fontId="9" fillId="0" borderId="76" xfId="0" applyFont="1" applyBorder="1" applyAlignment="1">
      <alignment horizontal="center" vertical="center"/>
    </xf>
    <xf numFmtId="0" fontId="78" fillId="0" borderId="51" xfId="0" applyFont="1" applyBorder="1" applyAlignment="1">
      <alignment horizontal="left" vertical="top"/>
    </xf>
    <xf numFmtId="0" fontId="361" fillId="0" borderId="16" xfId="0" applyFont="1" applyBorder="1" applyAlignment="1">
      <alignment horizontal="center" vertical="center"/>
    </xf>
    <xf numFmtId="0" fontId="389" fillId="0" borderId="16" xfId="0" applyFont="1" applyBorder="1" applyAlignment="1">
      <alignment horizontal="right" vertical="center"/>
    </xf>
    <xf numFmtId="0" fontId="63" fillId="0" borderId="0" xfId="0" applyFont="1" applyAlignment="1">
      <alignment vertical="center" wrapText="1"/>
    </xf>
    <xf numFmtId="0" fontId="361" fillId="0" borderId="5" xfId="0" applyFont="1" applyBorder="1" applyAlignment="1">
      <alignment horizontal="center" vertical="center"/>
    </xf>
    <xf numFmtId="0" fontId="361" fillId="0" borderId="5" xfId="0" applyFont="1" applyBorder="1" applyAlignment="1">
      <alignment vertical="center"/>
    </xf>
    <xf numFmtId="0" fontId="389" fillId="0" borderId="5" xfId="0" applyFont="1" applyBorder="1" applyAlignment="1">
      <alignment horizontal="right" vertical="center"/>
    </xf>
    <xf numFmtId="0" fontId="64" fillId="0" borderId="0" xfId="0" applyFont="1" applyAlignment="1">
      <alignment vertical="center" wrapText="1"/>
    </xf>
    <xf numFmtId="0" fontId="3" fillId="0" borderId="16" xfId="0" applyFont="1" applyBorder="1" applyAlignment="1">
      <alignment vertical="center"/>
    </xf>
    <xf numFmtId="0" fontId="349" fillId="0" borderId="0" xfId="0" applyFont="1" applyAlignment="1">
      <alignment vertical="center" wrapText="1"/>
    </xf>
    <xf numFmtId="0" fontId="389" fillId="0" borderId="0" xfId="0" applyFont="1"/>
    <xf numFmtId="0" fontId="0" fillId="0" borderId="44" xfId="0" applyBorder="1" applyAlignment="1">
      <alignment vertical="center"/>
    </xf>
    <xf numFmtId="0" fontId="0" fillId="0" borderId="22" xfId="0" applyBorder="1" applyAlignment="1">
      <alignment vertical="center"/>
    </xf>
    <xf numFmtId="0" fontId="9" fillId="0" borderId="8" xfId="0" applyFont="1" applyBorder="1" applyAlignment="1">
      <alignment vertical="center"/>
    </xf>
    <xf numFmtId="0" fontId="9" fillId="0" borderId="8" xfId="0" applyFont="1" applyBorder="1"/>
    <xf numFmtId="0" fontId="9" fillId="0" borderId="11" xfId="0" applyFont="1" applyBorder="1" applyAlignment="1">
      <alignment horizontal="center" vertical="center"/>
    </xf>
    <xf numFmtId="0" fontId="13" fillId="3" borderId="119" xfId="0" applyFont="1" applyFill="1" applyBorder="1" applyAlignment="1">
      <alignment horizontal="left" vertical="center"/>
    </xf>
    <xf numFmtId="0" fontId="12" fillId="4" borderId="24" xfId="0" applyFont="1" applyFill="1" applyBorder="1" applyAlignment="1">
      <alignment vertical="center" wrapText="1"/>
    </xf>
    <xf numFmtId="0" fontId="16" fillId="0" borderId="13" xfId="0" applyFont="1" applyBorder="1" applyAlignment="1">
      <alignment horizontal="center" vertical="center" wrapText="1"/>
    </xf>
    <xf numFmtId="0" fontId="16" fillId="0" borderId="8" xfId="0" applyFont="1" applyBorder="1" applyAlignment="1">
      <alignment horizontal="left" vertical="center"/>
    </xf>
    <xf numFmtId="0" fontId="22" fillId="0" borderId="157" xfId="0" applyFont="1" applyBorder="1" applyAlignment="1">
      <alignment vertical="center"/>
    </xf>
    <xf numFmtId="0" fontId="54" fillId="0" borderId="57" xfId="0" applyFont="1" applyBorder="1" applyAlignment="1">
      <alignment vertical="center" wrapText="1"/>
    </xf>
    <xf numFmtId="0" fontId="54" fillId="0" borderId="67" xfId="0" applyFont="1" applyBorder="1" applyAlignment="1">
      <alignment vertical="center" wrapText="1"/>
    </xf>
    <xf numFmtId="0" fontId="156" fillId="0" borderId="0" xfId="0" applyFont="1" applyAlignment="1">
      <alignment horizontal="right" vertical="center"/>
    </xf>
    <xf numFmtId="0" fontId="11" fillId="0" borderId="0" xfId="0" applyFont="1" applyAlignment="1">
      <alignment horizontal="left" vertical="center"/>
    </xf>
    <xf numFmtId="0" fontId="11" fillId="0" borderId="0" xfId="0" applyFont="1" applyAlignment="1">
      <alignment horizontal="center" vertical="center" wrapText="1"/>
    </xf>
    <xf numFmtId="0" fontId="89" fillId="0" borderId="0" xfId="0" applyFont="1" applyAlignment="1">
      <alignment vertical="center"/>
    </xf>
    <xf numFmtId="0" fontId="3" fillId="2" borderId="0" xfId="0" applyFont="1" applyFill="1" applyAlignment="1">
      <alignment horizontal="center"/>
    </xf>
    <xf numFmtId="49" fontId="133" fillId="0" borderId="0" xfId="0" applyNumberFormat="1" applyFont="1" applyAlignment="1">
      <alignment horizontal="center"/>
    </xf>
    <xf numFmtId="49" fontId="3" fillId="0" borderId="0" xfId="0" applyNumberFormat="1" applyFont="1" applyAlignment="1">
      <alignment horizontal="center"/>
    </xf>
    <xf numFmtId="0" fontId="45" fillId="2" borderId="0" xfId="0" applyFont="1" applyFill="1" applyAlignment="1">
      <alignment horizontal="center"/>
    </xf>
    <xf numFmtId="0" fontId="1" fillId="0" borderId="0" xfId="0" applyFont="1" applyAlignment="1">
      <alignment horizontal="left"/>
    </xf>
    <xf numFmtId="0" fontId="1" fillId="0" borderId="0" xfId="0" applyFont="1" applyAlignment="1">
      <alignment horizontal="center"/>
    </xf>
    <xf numFmtId="0" fontId="46" fillId="0" borderId="0" xfId="0" applyFont="1"/>
    <xf numFmtId="0" fontId="9" fillId="0" borderId="0" xfId="0" applyFont="1" applyAlignment="1">
      <alignment vertical="top"/>
    </xf>
    <xf numFmtId="192" fontId="362" fillId="32" borderId="4" xfId="0" applyNumberFormat="1" applyFont="1" applyFill="1" applyBorder="1" applyAlignment="1" applyProtection="1">
      <alignment horizontal="left" vertical="center"/>
      <protection locked="0"/>
    </xf>
    <xf numFmtId="189" fontId="379" fillId="32" borderId="18" xfId="0" applyNumberFormat="1" applyFont="1" applyFill="1" applyBorder="1" applyAlignment="1" applyProtection="1">
      <alignment horizontal="left" vertical="center"/>
      <protection locked="0"/>
    </xf>
    <xf numFmtId="190" fontId="361" fillId="32" borderId="13" xfId="0" applyNumberFormat="1" applyFont="1" applyFill="1" applyBorder="1" applyAlignment="1" applyProtection="1">
      <alignment horizontal="left" vertical="center"/>
      <protection locked="0"/>
    </xf>
    <xf numFmtId="172" fontId="361" fillId="32" borderId="18" xfId="0" applyNumberFormat="1" applyFont="1" applyFill="1" applyBorder="1" applyAlignment="1" applyProtection="1">
      <alignment horizontal="left" vertical="center"/>
      <protection locked="0"/>
    </xf>
    <xf numFmtId="189" fontId="379" fillId="32" borderId="14" xfId="0" applyNumberFormat="1" applyFont="1" applyFill="1" applyBorder="1" applyAlignment="1" applyProtection="1">
      <alignment horizontal="right" vertical="center"/>
      <protection locked="0"/>
    </xf>
    <xf numFmtId="0" fontId="101" fillId="25" borderId="68" xfId="0" applyFont="1" applyFill="1" applyBorder="1" applyAlignment="1" applyProtection="1">
      <alignment horizontal="center" vertical="center"/>
      <protection locked="0"/>
    </xf>
    <xf numFmtId="0" fontId="101" fillId="25" borderId="63" xfId="0" applyFont="1" applyFill="1" applyBorder="1" applyAlignment="1" applyProtection="1">
      <alignment horizontal="center" vertical="center"/>
      <protection locked="0"/>
    </xf>
    <xf numFmtId="0" fontId="101" fillId="25" borderId="63" xfId="1" applyFont="1" applyFill="1" applyBorder="1" applyAlignment="1" applyProtection="1">
      <alignment horizontal="center" vertical="center"/>
      <protection locked="0"/>
    </xf>
    <xf numFmtId="0" fontId="101" fillId="25" borderId="78" xfId="0" applyFont="1" applyFill="1" applyBorder="1" applyAlignment="1" applyProtection="1">
      <alignment horizontal="center" vertical="center"/>
      <protection locked="0"/>
    </xf>
    <xf numFmtId="0" fontId="0" fillId="25" borderId="92" xfId="0" applyFill="1" applyBorder="1" applyAlignment="1" applyProtection="1">
      <alignment vertical="center"/>
      <protection locked="0"/>
    </xf>
    <xf numFmtId="0" fontId="9" fillId="25" borderId="18" xfId="0" applyFont="1" applyFill="1" applyBorder="1" applyAlignment="1" applyProtection="1">
      <alignment horizontal="left" vertical="center"/>
      <protection locked="0"/>
    </xf>
    <xf numFmtId="0" fontId="9" fillId="25" borderId="13" xfId="0" applyFont="1" applyFill="1" applyBorder="1" applyAlignment="1" applyProtection="1">
      <alignment horizontal="left" vertical="center"/>
      <protection locked="0"/>
    </xf>
    <xf numFmtId="0" fontId="9" fillId="25" borderId="23" xfId="0" applyFont="1" applyFill="1" applyBorder="1" applyAlignment="1" applyProtection="1">
      <alignment horizontal="left" vertical="center"/>
      <protection locked="0"/>
    </xf>
    <xf numFmtId="0" fontId="81" fillId="25" borderId="4" xfId="0" applyFont="1" applyFill="1" applyBorder="1" applyAlignment="1" applyProtection="1">
      <alignment horizontal="left" vertical="center"/>
      <protection locked="0"/>
    </xf>
    <xf numFmtId="0" fontId="75" fillId="25" borderId="10" xfId="0" applyFont="1" applyFill="1" applyBorder="1" applyAlignment="1" applyProtection="1">
      <alignment horizontal="center" vertical="center" wrapText="1"/>
      <protection locked="0"/>
    </xf>
    <xf numFmtId="0" fontId="75" fillId="25" borderId="14" xfId="0" applyFont="1" applyFill="1" applyBorder="1" applyAlignment="1" applyProtection="1">
      <alignment horizontal="center" vertical="center" wrapText="1"/>
      <protection locked="0"/>
    </xf>
    <xf numFmtId="191" fontId="75" fillId="25" borderId="4" xfId="0" applyNumberFormat="1" applyFont="1" applyFill="1" applyBorder="1" applyAlignment="1" applyProtection="1">
      <alignment horizontal="left" vertical="center"/>
      <protection locked="0"/>
    </xf>
    <xf numFmtId="0" fontId="362" fillId="25" borderId="68" xfId="0" applyFont="1" applyFill="1" applyBorder="1" applyAlignment="1" applyProtection="1">
      <alignment horizontal="center" vertical="center"/>
      <protection locked="0"/>
    </xf>
    <xf numFmtId="0" fontId="362" fillId="25" borderId="63" xfId="0" applyFont="1" applyFill="1" applyBorder="1" applyAlignment="1" applyProtection="1">
      <alignment horizontal="center" vertical="center"/>
      <protection locked="0"/>
    </xf>
    <xf numFmtId="0" fontId="362" fillId="25" borderId="63" xfId="1" applyFont="1" applyFill="1" applyBorder="1" applyAlignment="1" applyProtection="1">
      <alignment horizontal="center" vertical="center"/>
      <protection locked="0"/>
    </xf>
    <xf numFmtId="0" fontId="362" fillId="25" borderId="69" xfId="0" applyFont="1" applyFill="1" applyBorder="1" applyAlignment="1" applyProtection="1">
      <alignment vertical="center"/>
      <protection locked="0"/>
    </xf>
    <xf numFmtId="0" fontId="117" fillId="25" borderId="63" xfId="0" applyFont="1" applyFill="1" applyBorder="1" applyAlignment="1" applyProtection="1">
      <alignment horizontal="center" vertical="center"/>
      <protection locked="0"/>
    </xf>
    <xf numFmtId="0" fontId="117" fillId="25" borderId="69" xfId="0" applyFont="1" applyFill="1" applyBorder="1" applyAlignment="1" applyProtection="1">
      <alignment horizontal="center" vertical="center"/>
      <protection locked="0"/>
    </xf>
    <xf numFmtId="0" fontId="361" fillId="25" borderId="5" xfId="0" applyFont="1" applyFill="1" applyBorder="1" applyAlignment="1" applyProtection="1">
      <alignment horizontal="center" vertical="center"/>
      <protection locked="0"/>
    </xf>
    <xf numFmtId="0" fontId="361" fillId="25" borderId="8" xfId="0" applyFont="1" applyFill="1" applyBorder="1" applyAlignment="1" applyProtection="1">
      <alignment horizontal="center" vertical="center"/>
      <protection locked="0"/>
    </xf>
    <xf numFmtId="0" fontId="361" fillId="25" borderId="8" xfId="0" applyFont="1" applyFill="1" applyBorder="1" applyAlignment="1" applyProtection="1">
      <alignment horizontal="center" vertical="center" wrapText="1"/>
      <protection locked="0"/>
    </xf>
    <xf numFmtId="0" fontId="371" fillId="4" borderId="56" xfId="0" applyFont="1" applyFill="1" applyBorder="1" applyAlignment="1">
      <alignment horizontal="center" wrapText="1"/>
    </xf>
    <xf numFmtId="0" fontId="371" fillId="4" borderId="105" xfId="0" applyFont="1" applyFill="1" applyBorder="1" applyAlignment="1">
      <alignment horizontal="center" wrapText="1"/>
    </xf>
    <xf numFmtId="2" fontId="19" fillId="12" borderId="5" xfId="0" applyNumberFormat="1" applyFont="1" applyFill="1" applyBorder="1" applyAlignment="1">
      <alignment horizontal="center" vertical="center"/>
    </xf>
    <xf numFmtId="179" fontId="88" fillId="0" borderId="1" xfId="0" applyNumberFormat="1" applyFont="1" applyBorder="1" applyAlignment="1">
      <alignment horizontal="center" vertical="center"/>
    </xf>
    <xf numFmtId="0" fontId="79" fillId="0" borderId="14" xfId="0" applyFont="1" applyBorder="1" applyAlignment="1">
      <alignment horizontal="center" vertical="center" wrapText="1"/>
    </xf>
    <xf numFmtId="49" fontId="167" fillId="18" borderId="2" xfId="0" applyNumberFormat="1" applyFont="1" applyFill="1" applyBorder="1" applyAlignment="1">
      <alignment horizontal="center" vertical="center"/>
    </xf>
    <xf numFmtId="49" fontId="167" fillId="18" borderId="14" xfId="0" applyNumberFormat="1" applyFont="1" applyFill="1" applyBorder="1" applyAlignment="1">
      <alignment horizontal="center" vertical="center"/>
    </xf>
    <xf numFmtId="0" fontId="167" fillId="18" borderId="2" xfId="0" applyFont="1" applyFill="1" applyBorder="1" applyAlignment="1">
      <alignment horizontal="center" vertical="center" wrapText="1"/>
    </xf>
    <xf numFmtId="0" fontId="167" fillId="18" borderId="48" xfId="0" applyFont="1" applyFill="1" applyBorder="1" applyAlignment="1">
      <alignment horizontal="center" vertical="center" wrapText="1"/>
    </xf>
    <xf numFmtId="0" fontId="167" fillId="18" borderId="1" xfId="0" applyFont="1" applyFill="1" applyBorder="1" applyAlignment="1">
      <alignment horizontal="center" vertical="center"/>
    </xf>
    <xf numFmtId="0" fontId="167" fillId="18" borderId="1" xfId="0" applyFont="1" applyFill="1" applyBorder="1" applyAlignment="1">
      <alignment horizontal="center" vertical="center" wrapText="1"/>
    </xf>
    <xf numFmtId="0" fontId="167" fillId="18" borderId="10" xfId="0" applyFont="1" applyFill="1" applyBorder="1" applyAlignment="1">
      <alignment horizontal="center" vertical="center"/>
    </xf>
    <xf numFmtId="0" fontId="167" fillId="18" borderId="48" xfId="0" applyFont="1" applyFill="1" applyBorder="1" applyAlignment="1">
      <alignment horizontal="center" vertical="center"/>
    </xf>
    <xf numFmtId="49" fontId="167" fillId="18" borderId="7" xfId="0" applyNumberFormat="1" applyFont="1" applyFill="1" applyBorder="1" applyAlignment="1">
      <alignment horizontal="center" vertical="center"/>
    </xf>
    <xf numFmtId="49" fontId="167" fillId="18" borderId="7" xfId="0" applyNumberFormat="1" applyFont="1" applyFill="1" applyBorder="1" applyAlignment="1">
      <alignment horizontal="center" vertical="center" wrapText="1"/>
    </xf>
    <xf numFmtId="49" fontId="167" fillId="18" borderId="9" xfId="0" applyNumberFormat="1" applyFont="1" applyFill="1" applyBorder="1" applyAlignment="1">
      <alignment horizontal="center" vertical="center"/>
    </xf>
    <xf numFmtId="49" fontId="167" fillId="18" borderId="27" xfId="0" applyNumberFormat="1" applyFont="1" applyFill="1" applyBorder="1" applyAlignment="1">
      <alignment horizontal="center" vertical="center" wrapText="1"/>
    </xf>
    <xf numFmtId="0" fontId="348" fillId="0" borderId="19" xfId="0" applyFont="1" applyBorder="1" applyAlignment="1">
      <alignment horizontal="center" vertical="center"/>
    </xf>
    <xf numFmtId="0" fontId="347" fillId="0" borderId="0" xfId="0" applyFont="1" applyAlignment="1">
      <alignment horizontal="right" vertical="center"/>
    </xf>
    <xf numFmtId="0" fontId="347" fillId="0" borderId="16" xfId="0" applyFont="1" applyBorder="1" applyAlignment="1">
      <alignment horizontal="right" vertical="center"/>
    </xf>
    <xf numFmtId="0" fontId="375" fillId="0" borderId="0" xfId="1" quotePrefix="1" applyFont="1" applyFill="1" applyBorder="1" applyAlignment="1" applyProtection="1">
      <alignment vertical="center" wrapText="1"/>
    </xf>
    <xf numFmtId="0" fontId="375" fillId="0" borderId="16" xfId="1" quotePrefix="1" applyFont="1" applyFill="1" applyBorder="1" applyAlignment="1" applyProtection="1">
      <alignment vertical="center" wrapText="1"/>
    </xf>
    <xf numFmtId="172" fontId="113" fillId="0" borderId="135" xfId="0" applyNumberFormat="1" applyFont="1" applyBorder="1" applyAlignment="1">
      <alignment horizontal="left" vertical="center"/>
    </xf>
    <xf numFmtId="172" fontId="113" fillId="0" borderId="25" xfId="0" applyNumberFormat="1" applyFont="1" applyBorder="1" applyAlignment="1">
      <alignment horizontal="left" vertical="center"/>
    </xf>
    <xf numFmtId="0" fontId="169" fillId="0" borderId="0" xfId="0" applyFont="1" applyAlignment="1">
      <alignment vertical="center"/>
    </xf>
    <xf numFmtId="0" fontId="158" fillId="18" borderId="140" xfId="0" applyFont="1" applyFill="1" applyBorder="1" applyAlignment="1">
      <alignment horizontal="left" vertical="center" wrapText="1"/>
    </xf>
    <xf numFmtId="0" fontId="174" fillId="18" borderId="140" xfId="0" applyFont="1" applyFill="1" applyBorder="1" applyAlignment="1">
      <alignment horizontal="left" vertical="center" wrapText="1"/>
    </xf>
    <xf numFmtId="0" fontId="110" fillId="0" borderId="226" xfId="0" applyFont="1" applyBorder="1" applyAlignment="1">
      <alignment horizontal="right" vertical="center" wrapText="1"/>
    </xf>
    <xf numFmtId="0" fontId="110" fillId="0" borderId="116" xfId="0" applyFont="1" applyBorder="1" applyAlignment="1">
      <alignment horizontal="right" vertical="center" wrapText="1"/>
    </xf>
    <xf numFmtId="0" fontId="88" fillId="0" borderId="226" xfId="0" applyFont="1" applyBorder="1" applyAlignment="1">
      <alignment horizontal="center" vertical="center"/>
    </xf>
    <xf numFmtId="0" fontId="88" fillId="0" borderId="116" xfId="0" applyFont="1" applyBorder="1" applyAlignment="1">
      <alignment horizontal="center" vertical="center"/>
    </xf>
    <xf numFmtId="0" fontId="88" fillId="0" borderId="59" xfId="0" applyFont="1" applyBorder="1" applyAlignment="1">
      <alignment horizontal="center" vertical="center"/>
    </xf>
    <xf numFmtId="0" fontId="88" fillId="0" borderId="25" xfId="0" applyFont="1" applyBorder="1" applyAlignment="1">
      <alignment horizontal="center" vertical="center"/>
    </xf>
    <xf numFmtId="0" fontId="189" fillId="0" borderId="129" xfId="0" applyFont="1" applyBorder="1" applyAlignment="1">
      <alignment horizontal="center" vertical="center" wrapText="1"/>
    </xf>
    <xf numFmtId="0" fontId="189" fillId="0" borderId="135" xfId="0" applyFont="1" applyBorder="1" applyAlignment="1">
      <alignment horizontal="center" vertical="center" wrapText="1"/>
    </xf>
    <xf numFmtId="0" fontId="189" fillId="0" borderId="14" xfId="0" applyFont="1" applyBorder="1" applyAlignment="1">
      <alignment horizontal="center" vertical="center" wrapText="1"/>
    </xf>
    <xf numFmtId="0" fontId="189" fillId="0" borderId="6" xfId="0" applyFont="1" applyBorder="1" applyAlignment="1">
      <alignment horizontal="center" vertical="center" wrapText="1"/>
    </xf>
    <xf numFmtId="0" fontId="378" fillId="25" borderId="124" xfId="0" applyFont="1" applyFill="1" applyBorder="1" applyAlignment="1">
      <alignment horizontal="right" vertical="center"/>
    </xf>
    <xf numFmtId="0" fontId="378" fillId="25" borderId="45" xfId="0" applyFont="1" applyFill="1" applyBorder="1" applyAlignment="1">
      <alignment horizontal="right" vertical="center"/>
    </xf>
    <xf numFmtId="0" fontId="378" fillId="25" borderId="44" xfId="0" applyFont="1" applyFill="1" applyBorder="1" applyAlignment="1">
      <alignment horizontal="right" vertical="center"/>
    </xf>
    <xf numFmtId="0" fontId="378" fillId="25" borderId="24" xfId="0" applyFont="1" applyFill="1" applyBorder="1" applyAlignment="1">
      <alignment horizontal="right" vertical="center"/>
    </xf>
    <xf numFmtId="0" fontId="336" fillId="0" borderId="226" xfId="0" applyFont="1" applyBorder="1" applyAlignment="1">
      <alignment horizontal="right" vertical="center" wrapText="1"/>
    </xf>
    <xf numFmtId="0" fontId="336" fillId="0" borderId="111" xfId="0" applyFont="1" applyBorder="1" applyAlignment="1">
      <alignment horizontal="right" vertical="center" wrapText="1"/>
    </xf>
    <xf numFmtId="0" fontId="336" fillId="0" borderId="229" xfId="0" applyFont="1" applyBorder="1" applyAlignment="1">
      <alignment horizontal="right" vertical="center" wrapText="1"/>
    </xf>
    <xf numFmtId="0" fontId="336" fillId="0" borderId="16" xfId="0" applyFont="1" applyBorder="1" applyAlignment="1">
      <alignment horizontal="right" vertical="center" wrapText="1"/>
    </xf>
    <xf numFmtId="0" fontId="19" fillId="6" borderId="245" xfId="0" applyFont="1" applyFill="1" applyBorder="1" applyAlignment="1">
      <alignment horizontal="center" vertical="center"/>
    </xf>
    <xf numFmtId="0" fontId="19" fillId="6" borderId="113" xfId="0" applyFont="1" applyFill="1" applyBorder="1" applyAlignment="1">
      <alignment horizontal="center" vertical="center"/>
    </xf>
    <xf numFmtId="0" fontId="19" fillId="6" borderId="243" xfId="0" applyFont="1" applyFill="1" applyBorder="1" applyAlignment="1">
      <alignment horizontal="center" vertical="center"/>
    </xf>
    <xf numFmtId="0" fontId="56" fillId="0" borderId="10" xfId="0" applyFont="1" applyBorder="1" applyAlignment="1">
      <alignment horizontal="left" vertical="center"/>
    </xf>
    <xf numFmtId="0" fontId="56" fillId="0" borderId="5" xfId="0" applyFont="1" applyBorder="1" applyAlignment="1">
      <alignment horizontal="left" vertical="center"/>
    </xf>
    <xf numFmtId="0" fontId="56" fillId="0" borderId="12" xfId="0" applyFont="1" applyBorder="1" applyAlignment="1">
      <alignment horizontal="left" vertical="center"/>
    </xf>
    <xf numFmtId="0" fontId="378" fillId="0" borderId="45" xfId="0" applyFont="1" applyBorder="1" applyAlignment="1">
      <alignment horizontal="left" vertical="center"/>
    </xf>
    <xf numFmtId="0" fontId="378" fillId="0" borderId="92" xfId="0" applyFont="1" applyBorder="1" applyAlignment="1">
      <alignment horizontal="left" vertical="center"/>
    </xf>
    <xf numFmtId="0" fontId="378" fillId="0" borderId="24" xfId="0" applyFont="1" applyBorder="1" applyAlignment="1">
      <alignment horizontal="left" vertical="center"/>
    </xf>
    <xf numFmtId="0" fontId="378" fillId="0" borderId="22" xfId="0" applyFont="1" applyBorder="1" applyAlignment="1">
      <alignment horizontal="left" vertical="center"/>
    </xf>
    <xf numFmtId="0" fontId="116" fillId="0" borderId="135" xfId="0" applyFont="1" applyBorder="1" applyAlignment="1">
      <alignment horizontal="left" vertical="center"/>
    </xf>
    <xf numFmtId="0" fontId="116" fillId="0" borderId="25" xfId="0" applyFont="1" applyBorder="1" applyAlignment="1">
      <alignment horizontal="left" vertical="center"/>
    </xf>
    <xf numFmtId="0" fontId="395" fillId="36" borderId="51" xfId="0" applyFont="1" applyFill="1" applyBorder="1" applyAlignment="1">
      <alignment horizontal="right" vertical="center" wrapText="1"/>
    </xf>
    <xf numFmtId="0" fontId="395" fillId="36" borderId="0" xfId="0" applyFont="1" applyFill="1" applyAlignment="1">
      <alignment horizontal="right" vertical="center" wrapText="1"/>
    </xf>
    <xf numFmtId="0" fontId="395" fillId="36" borderId="28" xfId="0" applyFont="1" applyFill="1" applyBorder="1" applyAlignment="1">
      <alignment horizontal="right" vertical="center" wrapText="1"/>
    </xf>
    <xf numFmtId="0" fontId="83" fillId="25" borderId="181" xfId="0" applyFont="1" applyFill="1" applyBorder="1" applyAlignment="1" applyProtection="1">
      <alignment horizontal="left" vertical="center"/>
      <protection locked="0"/>
    </xf>
    <xf numFmtId="0" fontId="83" fillId="25" borderId="46" xfId="0" applyFont="1" applyFill="1" applyBorder="1" applyAlignment="1" applyProtection="1">
      <alignment horizontal="left" vertical="center"/>
      <protection locked="0"/>
    </xf>
    <xf numFmtId="0" fontId="170" fillId="29" borderId="21" xfId="0" applyFont="1" applyFill="1" applyBorder="1" applyAlignment="1">
      <alignment horizontal="center" vertical="center" wrapText="1"/>
    </xf>
    <xf numFmtId="0" fontId="171" fillId="29" borderId="3" xfId="0" applyFont="1" applyFill="1" applyBorder="1" applyAlignment="1">
      <alignment horizontal="center" vertical="center" wrapText="1"/>
    </xf>
    <xf numFmtId="0" fontId="167" fillId="18" borderId="0" xfId="0" applyFont="1" applyFill="1" applyAlignment="1">
      <alignment horizontal="center" vertical="center"/>
    </xf>
    <xf numFmtId="0" fontId="167" fillId="18" borderId="169" xfId="0" applyFont="1" applyFill="1" applyBorder="1" applyAlignment="1">
      <alignment horizontal="center" vertical="center"/>
    </xf>
    <xf numFmtId="49" fontId="167" fillId="18" borderId="24" xfId="0" applyNumberFormat="1" applyFont="1" applyFill="1" applyBorder="1" applyAlignment="1">
      <alignment horizontal="center" vertical="center"/>
    </xf>
    <xf numFmtId="49" fontId="167" fillId="18" borderId="166" xfId="0" applyNumberFormat="1" applyFont="1" applyFill="1" applyBorder="1" applyAlignment="1">
      <alignment horizontal="center" vertical="center"/>
    </xf>
    <xf numFmtId="0" fontId="74" fillId="0" borderId="9" xfId="0" applyFont="1" applyBorder="1" applyAlignment="1">
      <alignment horizontal="center" vertical="center"/>
    </xf>
    <xf numFmtId="0" fontId="74" fillId="0" borderId="177" xfId="0" applyFont="1" applyBorder="1" applyAlignment="1">
      <alignment horizontal="center" vertical="center"/>
    </xf>
    <xf numFmtId="0" fontId="164" fillId="8" borderId="0" xfId="0" applyFont="1" applyFill="1" applyAlignment="1">
      <alignment horizontal="center" vertical="center"/>
    </xf>
    <xf numFmtId="0" fontId="164" fillId="8" borderId="25" xfId="0" applyFont="1" applyFill="1" applyBorder="1" applyAlignment="1">
      <alignment horizontal="center" vertical="center"/>
    </xf>
    <xf numFmtId="0" fontId="247" fillId="26" borderId="128" xfId="0" applyFont="1" applyFill="1" applyBorder="1" applyAlignment="1" applyProtection="1">
      <alignment horizontal="center" vertical="center"/>
      <protection locked="0"/>
    </xf>
    <xf numFmtId="0" fontId="247" fillId="26" borderId="2" xfId="0" applyFont="1" applyFill="1" applyBorder="1" applyAlignment="1" applyProtection="1">
      <alignment horizontal="center" vertical="center"/>
      <protection locked="0"/>
    </xf>
    <xf numFmtId="0" fontId="246" fillId="0" borderId="135" xfId="0" applyFont="1" applyBorder="1" applyAlignment="1">
      <alignment horizontal="right" vertical="center" wrapText="1"/>
    </xf>
    <xf numFmtId="0" fontId="246" fillId="0" borderId="6" xfId="0" applyFont="1" applyBorder="1" applyAlignment="1">
      <alignment horizontal="right" vertical="center" wrapText="1"/>
    </xf>
    <xf numFmtId="49" fontId="79" fillId="0" borderId="16" xfId="0" applyNumberFormat="1" applyFont="1" applyBorder="1" applyAlignment="1">
      <alignment horizontal="center" vertical="center"/>
    </xf>
    <xf numFmtId="49" fontId="79" fillId="0" borderId="167" xfId="0" applyNumberFormat="1" applyFont="1" applyBorder="1" applyAlignment="1">
      <alignment horizontal="center" vertical="center"/>
    </xf>
    <xf numFmtId="0" fontId="14" fillId="8" borderId="46" xfId="0" applyFont="1" applyFill="1" applyBorder="1" applyAlignment="1">
      <alignment horizontal="center" vertical="center"/>
    </xf>
    <xf numFmtId="0" fontId="14" fillId="8" borderId="25" xfId="0" applyFont="1" applyFill="1" applyBorder="1" applyAlignment="1">
      <alignment horizontal="center" vertical="center"/>
    </xf>
    <xf numFmtId="0" fontId="113" fillId="0" borderId="129" xfId="0" applyFont="1" applyBorder="1" applyAlignment="1">
      <alignment horizontal="right" vertical="center"/>
    </xf>
    <xf numFmtId="0" fontId="113" fillId="0" borderId="27" xfId="0" applyFont="1" applyBorder="1" applyAlignment="1">
      <alignment horizontal="right" vertical="center"/>
    </xf>
    <xf numFmtId="0" fontId="106" fillId="0" borderId="168" xfId="0" applyFont="1" applyBorder="1" applyAlignment="1">
      <alignment horizontal="center" vertical="center" wrapText="1"/>
    </xf>
    <xf numFmtId="0" fontId="106" fillId="0" borderId="166" xfId="0" applyFont="1" applyBorder="1" applyAlignment="1">
      <alignment horizontal="center" vertical="center" wrapText="1"/>
    </xf>
    <xf numFmtId="0" fontId="106" fillId="9" borderId="21" xfId="0" applyFont="1" applyFill="1" applyBorder="1" applyAlignment="1">
      <alignment horizontal="center" vertical="center"/>
    </xf>
    <xf numFmtId="0" fontId="106" fillId="9" borderId="179" xfId="0" applyFont="1" applyFill="1" applyBorder="1" applyAlignment="1">
      <alignment horizontal="center" vertical="center"/>
    </xf>
    <xf numFmtId="0" fontId="393" fillId="29" borderId="61" xfId="0" applyFont="1" applyFill="1" applyBorder="1" applyAlignment="1">
      <alignment horizontal="center" vertical="center"/>
    </xf>
    <xf numFmtId="0" fontId="393" fillId="29" borderId="111" xfId="0" applyFont="1" applyFill="1" applyBorder="1" applyAlignment="1">
      <alignment horizontal="center" vertical="center"/>
    </xf>
    <xf numFmtId="0" fontId="393" fillId="29" borderId="136" xfId="0" applyFont="1" applyFill="1" applyBorder="1" applyAlignment="1">
      <alignment horizontal="center" vertical="center"/>
    </xf>
    <xf numFmtId="0" fontId="393" fillId="29" borderId="27" xfId="0" applyFont="1" applyFill="1" applyBorder="1" applyAlignment="1">
      <alignment horizontal="center" vertical="center"/>
    </xf>
    <xf numFmtId="0" fontId="393" fillId="29" borderId="24" xfId="0" applyFont="1" applyFill="1" applyBorder="1" applyAlignment="1">
      <alignment horizontal="center" vertical="center"/>
    </xf>
    <xf numFmtId="0" fontId="393" fillId="29" borderId="22" xfId="0" applyFont="1" applyFill="1" applyBorder="1" applyAlignment="1">
      <alignment horizontal="center" vertical="center"/>
    </xf>
    <xf numFmtId="0" fontId="113" fillId="0" borderId="27" xfId="0" applyFont="1" applyBorder="1" applyAlignment="1">
      <alignment horizontal="center" vertical="center" wrapText="1"/>
    </xf>
    <xf numFmtId="0" fontId="113" fillId="0" borderId="25" xfId="0" applyFont="1" applyBorder="1" applyAlignment="1">
      <alignment horizontal="center" vertical="center" wrapText="1"/>
    </xf>
    <xf numFmtId="0" fontId="106" fillId="9" borderId="55" xfId="0" applyFont="1" applyFill="1" applyBorder="1" applyAlignment="1">
      <alignment horizontal="center" vertical="center"/>
    </xf>
    <xf numFmtId="0" fontId="106" fillId="9" borderId="209" xfId="0" applyFont="1" applyFill="1" applyBorder="1" applyAlignment="1">
      <alignment horizontal="center" vertical="center"/>
    </xf>
    <xf numFmtId="0" fontId="37" fillId="8" borderId="165" xfId="0" applyFont="1" applyFill="1" applyBorder="1" applyAlignment="1">
      <alignment horizontal="right" vertical="center"/>
    </xf>
    <xf numFmtId="0" fontId="37" fillId="8" borderId="24" xfId="0" applyFont="1" applyFill="1" applyBorder="1" applyAlignment="1">
      <alignment horizontal="right" vertical="center"/>
    </xf>
    <xf numFmtId="0" fontId="19" fillId="8" borderId="42" xfId="0" applyFont="1" applyFill="1" applyBorder="1" applyAlignment="1">
      <alignment horizontal="center" vertical="center"/>
    </xf>
    <xf numFmtId="0" fontId="19" fillId="8" borderId="8" xfId="0" applyFont="1" applyFill="1" applyBorder="1" applyAlignment="1">
      <alignment horizontal="center" vertical="center"/>
    </xf>
    <xf numFmtId="0" fontId="19" fillId="8" borderId="23" xfId="0" applyFont="1" applyFill="1" applyBorder="1" applyAlignment="1">
      <alignment horizontal="center" vertical="center"/>
    </xf>
    <xf numFmtId="0" fontId="158" fillId="18" borderId="140" xfId="0" applyFont="1" applyFill="1" applyBorder="1" applyAlignment="1">
      <alignment horizontal="left" vertical="center"/>
    </xf>
    <xf numFmtId="0" fontId="2" fillId="25" borderId="128" xfId="0" applyFont="1" applyFill="1" applyBorder="1" applyAlignment="1" applyProtection="1">
      <alignment horizontal="center" vertical="center"/>
      <protection locked="0"/>
    </xf>
    <xf numFmtId="0" fontId="2" fillId="25" borderId="26" xfId="0" applyFont="1" applyFill="1" applyBorder="1" applyAlignment="1" applyProtection="1">
      <alignment horizontal="center" vertical="center"/>
      <protection locked="0"/>
    </xf>
    <xf numFmtId="0" fontId="9" fillId="0" borderId="135" xfId="0" applyFont="1" applyBorder="1" applyAlignment="1">
      <alignment horizontal="right" vertical="center"/>
    </xf>
    <xf numFmtId="0" fontId="9" fillId="0" borderId="25" xfId="0" applyFont="1" applyBorder="1" applyAlignment="1">
      <alignment horizontal="right" vertical="center"/>
    </xf>
    <xf numFmtId="0" fontId="2" fillId="25" borderId="137" xfId="0" applyFont="1" applyFill="1" applyBorder="1" applyAlignment="1" applyProtection="1">
      <alignment horizontal="center" vertical="center"/>
      <protection locked="0"/>
    </xf>
    <xf numFmtId="0" fontId="174" fillId="0" borderId="139" xfId="0" applyFont="1" applyBorder="1" applyAlignment="1">
      <alignment horizontal="center" vertical="center"/>
    </xf>
    <xf numFmtId="0" fontId="174" fillId="0" borderId="138" xfId="0" applyFont="1" applyBorder="1" applyAlignment="1">
      <alignment horizontal="center" vertical="center"/>
    </xf>
    <xf numFmtId="181" fontId="113" fillId="0" borderId="61" xfId="0" applyNumberFormat="1" applyFont="1" applyBorder="1" applyAlignment="1">
      <alignment horizontal="right" vertical="center"/>
    </xf>
    <xf numFmtId="181" fontId="113" fillId="0" borderId="27" xfId="0" applyNumberFormat="1" applyFont="1" applyBorder="1" applyAlignment="1">
      <alignment horizontal="right" vertical="center"/>
    </xf>
    <xf numFmtId="0" fontId="116" fillId="0" borderId="116" xfId="0" applyFont="1" applyBorder="1" applyAlignment="1">
      <alignment horizontal="left" vertical="center"/>
    </xf>
    <xf numFmtId="0" fontId="116" fillId="0" borderId="6" xfId="0" applyFont="1" applyBorder="1" applyAlignment="1">
      <alignment horizontal="left" vertical="center"/>
    </xf>
    <xf numFmtId="0" fontId="113" fillId="0" borderId="14" xfId="0" applyFont="1" applyBorder="1" applyAlignment="1">
      <alignment horizontal="right" vertical="center"/>
    </xf>
    <xf numFmtId="0" fontId="16" fillId="0" borderId="135" xfId="0" applyFont="1" applyBorder="1" applyAlignment="1">
      <alignment horizontal="right" vertical="center"/>
    </xf>
    <xf numFmtId="0" fontId="16" fillId="0" borderId="6" xfId="0" applyFont="1" applyBorder="1" applyAlignment="1">
      <alignment horizontal="right" vertical="center"/>
    </xf>
    <xf numFmtId="0" fontId="2" fillId="25" borderId="47" xfId="0" applyFont="1" applyFill="1" applyBorder="1" applyAlignment="1" applyProtection="1">
      <alignment horizontal="center" vertical="center"/>
      <protection locked="0"/>
    </xf>
    <xf numFmtId="0" fontId="16" fillId="0" borderId="46" xfId="0" applyFont="1" applyBorder="1" applyAlignment="1">
      <alignment horizontal="right" vertical="center"/>
    </xf>
    <xf numFmtId="0" fontId="16" fillId="0" borderId="25" xfId="0" applyFont="1" applyBorder="1" applyAlignment="1">
      <alignment horizontal="right" vertical="center"/>
    </xf>
    <xf numFmtId="0" fontId="9" fillId="0" borderId="116" xfId="0" applyFont="1" applyBorder="1" applyAlignment="1">
      <alignment horizontal="right" vertical="center"/>
    </xf>
    <xf numFmtId="0" fontId="9" fillId="0" borderId="135" xfId="0" applyFont="1" applyBorder="1" applyAlignment="1">
      <alignment horizontal="right" vertical="center" wrapText="1"/>
    </xf>
    <xf numFmtId="0" fontId="9" fillId="0" borderId="25" xfId="0" applyFont="1" applyBorder="1" applyAlignment="1">
      <alignment horizontal="right" vertical="center" wrapText="1"/>
    </xf>
    <xf numFmtId="0" fontId="56" fillId="0" borderId="27" xfId="0" applyFont="1" applyBorder="1" applyAlignment="1">
      <alignment horizontal="right" vertical="center"/>
    </xf>
    <xf numFmtId="0" fontId="56" fillId="0" borderId="24" xfId="0" applyFont="1" applyBorder="1" applyAlignment="1">
      <alignment horizontal="right" vertical="center"/>
    </xf>
    <xf numFmtId="0" fontId="56" fillId="0" borderId="166" xfId="0" applyFont="1" applyBorder="1" applyAlignment="1">
      <alignment horizontal="right" vertical="center"/>
    </xf>
    <xf numFmtId="0" fontId="16" fillId="0" borderId="46" xfId="0" applyFont="1" applyBorder="1" applyAlignment="1">
      <alignment horizontal="right" vertical="center" wrapText="1"/>
    </xf>
    <xf numFmtId="0" fontId="16" fillId="0" borderId="25" xfId="0" applyFont="1" applyBorder="1" applyAlignment="1">
      <alignment horizontal="right" vertical="center" wrapText="1"/>
    </xf>
    <xf numFmtId="0" fontId="83" fillId="8" borderId="170" xfId="0" applyFont="1" applyFill="1" applyBorder="1" applyAlignment="1">
      <alignment horizontal="left" wrapText="1" indent="1"/>
    </xf>
    <xf numFmtId="0" fontId="83" fillId="8" borderId="92" xfId="0" applyFont="1" applyFill="1" applyBorder="1" applyAlignment="1">
      <alignment horizontal="left" wrapText="1" indent="1"/>
    </xf>
    <xf numFmtId="0" fontId="83" fillId="8" borderId="181" xfId="0" applyFont="1" applyFill="1" applyBorder="1" applyAlignment="1">
      <alignment horizontal="left" wrapText="1" indent="1"/>
    </xf>
    <xf numFmtId="0" fontId="83" fillId="8" borderId="28" xfId="0" applyFont="1" applyFill="1" applyBorder="1" applyAlignment="1">
      <alignment horizontal="left" wrapText="1" indent="1"/>
    </xf>
    <xf numFmtId="0" fontId="14" fillId="25" borderId="128" xfId="0" applyFont="1" applyFill="1" applyBorder="1" applyAlignment="1" applyProtection="1">
      <alignment horizontal="center" vertical="center"/>
      <protection locked="0"/>
    </xf>
    <xf numFmtId="0" fontId="14" fillId="25" borderId="26" xfId="0" applyFont="1" applyFill="1" applyBorder="1" applyAlignment="1" applyProtection="1">
      <alignment horizontal="center" vertical="center"/>
      <protection locked="0"/>
    </xf>
    <xf numFmtId="49" fontId="79" fillId="0" borderId="9" xfId="0" applyNumberFormat="1" applyFont="1" applyBorder="1" applyAlignment="1">
      <alignment horizontal="center" vertical="center"/>
    </xf>
    <xf numFmtId="49" fontId="79" fillId="0" borderId="177" xfId="0" applyNumberFormat="1" applyFont="1" applyBorder="1" applyAlignment="1">
      <alignment horizontal="center" vertical="center"/>
    </xf>
    <xf numFmtId="0" fontId="17" fillId="0" borderId="25" xfId="0" applyFont="1" applyBorder="1" applyAlignment="1">
      <alignment horizontal="right" vertical="center"/>
    </xf>
    <xf numFmtId="0" fontId="73" fillId="0" borderId="45" xfId="0" applyFont="1" applyBorder="1" applyAlignment="1">
      <alignment vertical="center"/>
    </xf>
    <xf numFmtId="0" fontId="73" fillId="0" borderId="168" xfId="0" applyFont="1" applyBorder="1" applyAlignment="1">
      <alignment vertical="center"/>
    </xf>
    <xf numFmtId="0" fontId="73" fillId="0" borderId="0" xfId="0" applyFont="1" applyAlignment="1">
      <alignment vertical="center"/>
    </xf>
    <xf numFmtId="0" fontId="73" fillId="0" borderId="169" xfId="0" applyFont="1" applyBorder="1" applyAlignment="1">
      <alignment vertical="center"/>
    </xf>
    <xf numFmtId="0" fontId="73" fillId="0" borderId="130" xfId="0" applyFont="1" applyBorder="1" applyAlignment="1">
      <alignment vertical="center"/>
    </xf>
    <xf numFmtId="0" fontId="73" fillId="0" borderId="225" xfId="0" applyFont="1" applyBorder="1" applyAlignment="1">
      <alignment vertical="center"/>
    </xf>
    <xf numFmtId="0" fontId="208" fillId="0" borderId="135" xfId="0" applyFont="1" applyBorder="1" applyAlignment="1">
      <alignment horizontal="right" vertical="center"/>
    </xf>
    <xf numFmtId="49" fontId="167" fillId="18" borderId="0" xfId="0" applyNumberFormat="1" applyFont="1" applyFill="1" applyAlignment="1">
      <alignment horizontal="center" vertical="center"/>
    </xf>
    <xf numFmtId="49" fontId="167" fillId="18" borderId="169" xfId="0" applyNumberFormat="1" applyFont="1" applyFill="1" applyBorder="1" applyAlignment="1">
      <alignment horizontal="center" vertical="center"/>
    </xf>
    <xf numFmtId="0" fontId="106" fillId="9" borderId="19" xfId="0" applyFont="1" applyFill="1" applyBorder="1" applyAlignment="1">
      <alignment horizontal="center" vertical="center"/>
    </xf>
    <xf numFmtId="0" fontId="203" fillId="8" borderId="41" xfId="0" applyFont="1" applyFill="1" applyBorder="1" applyAlignment="1">
      <alignment horizontal="right" vertical="center" wrapText="1"/>
    </xf>
    <xf numFmtId="0" fontId="203" fillId="8" borderId="17" xfId="0" applyFont="1" applyFill="1" applyBorder="1" applyAlignment="1">
      <alignment horizontal="right" vertical="center" wrapText="1"/>
    </xf>
    <xf numFmtId="0" fontId="14" fillId="14" borderId="117" xfId="0" applyFont="1" applyFill="1" applyBorder="1" applyAlignment="1">
      <alignment horizontal="left" vertical="center" textRotation="90"/>
    </xf>
    <xf numFmtId="0" fontId="14" fillId="14" borderId="216" xfId="0" applyFont="1" applyFill="1" applyBorder="1" applyAlignment="1">
      <alignment horizontal="left" vertical="center" textRotation="90"/>
    </xf>
    <xf numFmtId="0" fontId="87" fillId="25" borderId="17" xfId="0" applyFont="1" applyFill="1" applyBorder="1" applyAlignment="1" applyProtection="1">
      <alignment horizontal="left"/>
      <protection locked="0"/>
    </xf>
    <xf numFmtId="0" fontId="158" fillId="25" borderId="10" xfId="0" applyFont="1" applyFill="1" applyBorder="1" applyAlignment="1" applyProtection="1">
      <alignment horizontal="left" vertical="center"/>
      <protection locked="0"/>
    </xf>
    <xf numFmtId="0" fontId="158" fillId="25" borderId="5" xfId="0" applyFont="1" applyFill="1" applyBorder="1" applyAlignment="1" applyProtection="1">
      <alignment horizontal="left" vertical="center"/>
      <protection locked="0"/>
    </xf>
    <xf numFmtId="0" fontId="158" fillId="25" borderId="13" xfId="0" applyFont="1" applyFill="1" applyBorder="1" applyAlignment="1" applyProtection="1">
      <alignment horizontal="left" vertical="center"/>
      <protection locked="0"/>
    </xf>
    <xf numFmtId="0" fontId="2" fillId="0" borderId="45" xfId="0" applyFont="1" applyBorder="1" applyAlignment="1">
      <alignment horizontal="left" vertical="top"/>
    </xf>
    <xf numFmtId="0" fontId="2" fillId="0" borderId="16" xfId="0" applyFont="1" applyBorder="1" applyAlignment="1">
      <alignment horizontal="left" vertical="top"/>
    </xf>
    <xf numFmtId="0" fontId="106" fillId="16" borderId="16" xfId="0" applyFont="1" applyFill="1" applyBorder="1" applyAlignment="1">
      <alignment horizontal="left" vertical="center"/>
    </xf>
    <xf numFmtId="0" fontId="171" fillId="0" borderId="116" xfId="0" applyFont="1" applyBorder="1" applyAlignment="1">
      <alignment horizontal="right" vertical="center" wrapText="1"/>
    </xf>
    <xf numFmtId="0" fontId="171" fillId="0" borderId="6" xfId="0" applyFont="1" applyBorder="1" applyAlignment="1">
      <alignment horizontal="right" vertical="center" wrapText="1"/>
    </xf>
    <xf numFmtId="49" fontId="158" fillId="25" borderId="115" xfId="0" applyNumberFormat="1" applyFont="1" applyFill="1" applyBorder="1" applyAlignment="1" applyProtection="1">
      <alignment horizontal="left" indent="1"/>
      <protection locked="0"/>
    </xf>
    <xf numFmtId="49" fontId="158" fillId="25" borderId="79" xfId="0" applyNumberFormat="1" applyFont="1" applyFill="1" applyBorder="1" applyAlignment="1" applyProtection="1">
      <alignment horizontal="left" indent="1"/>
      <protection locked="0"/>
    </xf>
    <xf numFmtId="49" fontId="158" fillId="25" borderId="80" xfId="0" applyNumberFormat="1" applyFont="1" applyFill="1" applyBorder="1" applyAlignment="1" applyProtection="1">
      <alignment horizontal="left" indent="1"/>
      <protection locked="0"/>
    </xf>
    <xf numFmtId="0" fontId="11" fillId="13" borderId="124" xfId="0" applyFont="1" applyFill="1" applyBorder="1" applyAlignment="1">
      <alignment horizontal="center" vertical="center" wrapText="1"/>
    </xf>
    <xf numFmtId="0" fontId="11" fillId="13" borderId="45" xfId="0" applyFont="1" applyFill="1" applyBorder="1" applyAlignment="1">
      <alignment horizontal="center" vertical="center" wrapText="1"/>
    </xf>
    <xf numFmtId="0" fontId="11" fillId="13" borderId="92" xfId="0" applyFont="1" applyFill="1" applyBorder="1" applyAlignment="1">
      <alignment horizontal="center" vertical="center" wrapText="1"/>
    </xf>
    <xf numFmtId="0" fontId="11" fillId="13" borderId="44" xfId="0" applyFont="1" applyFill="1" applyBorder="1" applyAlignment="1">
      <alignment horizontal="center" vertical="center" wrapText="1"/>
    </xf>
    <xf numFmtId="0" fontId="11" fillId="13" borderId="24" xfId="0" applyFont="1" applyFill="1" applyBorder="1" applyAlignment="1">
      <alignment horizontal="center" vertical="center" wrapText="1"/>
    </xf>
    <xf numFmtId="0" fontId="11" fillId="13" borderId="22" xfId="0" applyFont="1" applyFill="1" applyBorder="1" applyAlignment="1">
      <alignment horizontal="center" vertical="center" wrapText="1"/>
    </xf>
    <xf numFmtId="0" fontId="9" fillId="0" borderId="46" xfId="0" applyFont="1" applyBorder="1" applyAlignment="1">
      <alignment horizontal="right" vertical="center" wrapText="1"/>
    </xf>
    <xf numFmtId="0" fontId="19" fillId="9" borderId="40" xfId="0" applyFont="1" applyFill="1" applyBorder="1" applyAlignment="1">
      <alignment horizontal="center" vertical="center" wrapText="1"/>
    </xf>
    <xf numFmtId="0" fontId="19" fillId="9" borderId="3" xfId="0" applyFont="1" applyFill="1" applyBorder="1" applyAlignment="1">
      <alignment horizontal="center" vertical="center" wrapText="1"/>
    </xf>
    <xf numFmtId="0" fontId="19" fillId="9" borderId="4" xfId="0" applyFont="1" applyFill="1" applyBorder="1" applyAlignment="1">
      <alignment horizontal="center" vertical="center" wrapText="1"/>
    </xf>
    <xf numFmtId="0" fontId="3" fillId="0" borderId="135" xfId="0" applyFont="1" applyBorder="1" applyAlignment="1">
      <alignment horizontal="right" vertical="center"/>
    </xf>
    <xf numFmtId="0" fontId="3" fillId="0" borderId="6" xfId="0" applyFont="1" applyBorder="1" applyAlignment="1">
      <alignment horizontal="right" vertical="center"/>
    </xf>
    <xf numFmtId="0" fontId="2" fillId="0" borderId="13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25" xfId="0" applyFont="1" applyBorder="1" applyAlignment="1">
      <alignment horizontal="center" vertical="center" wrapText="1"/>
    </xf>
    <xf numFmtId="0" fontId="9" fillId="0" borderId="61" xfId="0" applyFont="1" applyBorder="1" applyAlignment="1">
      <alignment horizontal="left" vertical="center" wrapText="1"/>
    </xf>
    <xf numFmtId="0" fontId="9" fillId="0" borderId="116" xfId="0" applyFont="1" applyBorder="1" applyAlignment="1">
      <alignment horizontal="left" vertical="center" wrapText="1"/>
    </xf>
    <xf numFmtId="0" fontId="9" fillId="0" borderId="27" xfId="0" applyFont="1" applyBorder="1" applyAlignment="1">
      <alignment horizontal="left" vertical="center" wrapText="1"/>
    </xf>
    <xf numFmtId="0" fontId="9" fillId="0" borderId="25" xfId="0" applyFont="1" applyBorder="1" applyAlignment="1">
      <alignment horizontal="left" vertical="center" wrapText="1"/>
    </xf>
    <xf numFmtId="0" fontId="12" fillId="0" borderId="45" xfId="0" applyFont="1" applyBorder="1" applyAlignment="1">
      <alignment horizontal="left" vertical="center" wrapText="1" indent="1"/>
    </xf>
    <xf numFmtId="0" fontId="12" fillId="0" borderId="24" xfId="0" applyFont="1" applyBorder="1" applyAlignment="1">
      <alignment horizontal="left" vertical="center" wrapText="1" indent="1"/>
    </xf>
    <xf numFmtId="0" fontId="12" fillId="0" borderId="129" xfId="0" applyFont="1" applyBorder="1" applyAlignment="1">
      <alignment horizontal="left" vertical="center" wrapText="1"/>
    </xf>
    <xf numFmtId="0" fontId="12" fillId="0" borderId="45" xfId="0" applyFont="1" applyBorder="1" applyAlignment="1">
      <alignment horizontal="left" vertical="center" wrapText="1"/>
    </xf>
    <xf numFmtId="0" fontId="12" fillId="0" borderId="14" xfId="0" applyFont="1" applyBorder="1" applyAlignment="1">
      <alignment horizontal="left" vertical="center" wrapText="1"/>
    </xf>
    <xf numFmtId="0" fontId="12" fillId="0" borderId="16" xfId="0" applyFont="1" applyBorder="1" applyAlignment="1">
      <alignment horizontal="left" vertical="center" wrapText="1"/>
    </xf>
    <xf numFmtId="0" fontId="3" fillId="0" borderId="135" xfId="0" applyFont="1" applyBorder="1" applyAlignment="1">
      <alignment horizontal="right" vertical="center" wrapText="1"/>
    </xf>
    <xf numFmtId="0" fontId="3" fillId="0" borderId="6" xfId="0" applyFont="1" applyBorder="1" applyAlignment="1">
      <alignment horizontal="right" vertical="center" wrapText="1"/>
    </xf>
    <xf numFmtId="0" fontId="191" fillId="9" borderId="14" xfId="0" applyFont="1" applyFill="1" applyBorder="1" applyAlignment="1">
      <alignment horizontal="center" vertical="center"/>
    </xf>
    <xf numFmtId="0" fontId="191" fillId="9" borderId="167" xfId="0" applyFont="1" applyFill="1" applyBorder="1" applyAlignment="1">
      <alignment horizontal="center" vertical="center"/>
    </xf>
    <xf numFmtId="0" fontId="88" fillId="25" borderId="129" xfId="0" applyFont="1" applyFill="1" applyBorder="1" applyAlignment="1" applyProtection="1">
      <alignment horizontal="left" vertical="center" wrapText="1" indent="1"/>
      <protection locked="0"/>
    </xf>
    <xf numFmtId="0" fontId="88" fillId="25" borderId="168" xfId="0" applyFont="1" applyFill="1" applyBorder="1" applyAlignment="1" applyProtection="1">
      <alignment horizontal="left" vertical="center" wrapText="1" indent="1"/>
      <protection locked="0"/>
    </xf>
    <xf numFmtId="0" fontId="88" fillId="25" borderId="27" xfId="0" applyFont="1" applyFill="1" applyBorder="1" applyAlignment="1" applyProtection="1">
      <alignment horizontal="left" vertical="center" wrapText="1" indent="1"/>
      <protection locked="0"/>
    </xf>
    <xf numFmtId="0" fontId="88" fillId="25" borderId="166" xfId="0" applyFont="1" applyFill="1" applyBorder="1" applyAlignment="1" applyProtection="1">
      <alignment horizontal="left" vertical="center" wrapText="1" indent="1"/>
      <protection locked="0"/>
    </xf>
    <xf numFmtId="0" fontId="9" fillId="0" borderId="45" xfId="0" applyFont="1" applyBorder="1" applyAlignment="1">
      <alignment horizontal="right" vertical="center" wrapText="1"/>
    </xf>
    <xf numFmtId="0" fontId="363" fillId="0" borderId="27" xfId="0" applyFont="1" applyBorder="1" applyAlignment="1">
      <alignment horizontal="right" vertical="center" wrapText="1"/>
    </xf>
    <xf numFmtId="0" fontId="363" fillId="0" borderId="24" xfId="0" applyFont="1" applyBorder="1" applyAlignment="1">
      <alignment horizontal="right" vertical="center" wrapText="1"/>
    </xf>
    <xf numFmtId="0" fontId="363" fillId="0" borderId="25" xfId="0" applyFont="1" applyBorder="1" applyAlignment="1">
      <alignment horizontal="right" vertical="center" wrapText="1"/>
    </xf>
    <xf numFmtId="0" fontId="3" fillId="0" borderId="28" xfId="0" applyFont="1" applyBorder="1" applyAlignment="1">
      <alignment horizontal="center" vertical="center"/>
    </xf>
    <xf numFmtId="0" fontId="3" fillId="0" borderId="18" xfId="0" applyFont="1" applyBorder="1" applyAlignment="1">
      <alignment horizontal="center" vertical="center"/>
    </xf>
    <xf numFmtId="0" fontId="185" fillId="10" borderId="170" xfId="0" applyFont="1" applyFill="1" applyBorder="1" applyAlignment="1">
      <alignment horizontal="center"/>
    </xf>
    <xf numFmtId="0" fontId="185" fillId="10" borderId="45" xfId="0" applyFont="1" applyFill="1" applyBorder="1" applyAlignment="1">
      <alignment horizontal="center"/>
    </xf>
    <xf numFmtId="0" fontId="185" fillId="10" borderId="168" xfId="0" applyFont="1" applyFill="1" applyBorder="1" applyAlignment="1">
      <alignment horizontal="center"/>
    </xf>
    <xf numFmtId="0" fontId="215" fillId="9" borderId="51" xfId="0" applyFont="1" applyFill="1" applyBorder="1" applyAlignment="1">
      <alignment horizontal="center" vertical="top"/>
    </xf>
    <xf numFmtId="0" fontId="215" fillId="9" borderId="0" xfId="0" applyFont="1" applyFill="1" applyAlignment="1">
      <alignment horizontal="center" vertical="top"/>
    </xf>
    <xf numFmtId="0" fontId="215" fillId="9" borderId="169" xfId="0" applyFont="1" applyFill="1" applyBorder="1" applyAlignment="1">
      <alignment horizontal="center" vertical="top"/>
    </xf>
    <xf numFmtId="0" fontId="49" fillId="17" borderId="51" xfId="0" applyFont="1" applyFill="1" applyBorder="1" applyAlignment="1">
      <alignment horizontal="center" vertical="top"/>
    </xf>
    <xf numFmtId="0" fontId="49" fillId="17" borderId="0" xfId="0" applyFont="1" applyFill="1" applyAlignment="1">
      <alignment horizontal="center" vertical="top"/>
    </xf>
    <xf numFmtId="0" fontId="49" fillId="17" borderId="169" xfId="0" applyFont="1" applyFill="1" applyBorder="1" applyAlignment="1">
      <alignment horizontal="center" vertical="top"/>
    </xf>
    <xf numFmtId="0" fontId="35" fillId="17" borderId="51" xfId="0" applyFont="1" applyFill="1" applyBorder="1" applyAlignment="1">
      <alignment horizontal="center"/>
    </xf>
    <xf numFmtId="0" fontId="35" fillId="17" borderId="0" xfId="0" applyFont="1" applyFill="1" applyAlignment="1">
      <alignment horizontal="center"/>
    </xf>
    <xf numFmtId="0" fontId="35" fillId="17" borderId="169" xfId="0" applyFont="1" applyFill="1" applyBorder="1" applyAlignment="1">
      <alignment horizontal="center"/>
    </xf>
    <xf numFmtId="0" fontId="91" fillId="17" borderId="44" xfId="0" applyFont="1" applyFill="1" applyBorder="1" applyAlignment="1">
      <alignment horizontal="center" vertical="center"/>
    </xf>
    <xf numFmtId="0" fontId="91" fillId="17" borderId="24" xfId="0" applyFont="1" applyFill="1" applyBorder="1" applyAlignment="1">
      <alignment horizontal="center" vertical="center"/>
    </xf>
    <xf numFmtId="0" fontId="91" fillId="17" borderId="166" xfId="0" applyFont="1" applyFill="1" applyBorder="1" applyAlignment="1">
      <alignment horizontal="center" vertical="center"/>
    </xf>
    <xf numFmtId="0" fontId="215" fillId="9" borderId="51" xfId="0" applyFont="1" applyFill="1" applyBorder="1" applyAlignment="1">
      <alignment horizontal="center" vertical="center"/>
    </xf>
    <xf numFmtId="0" fontId="215" fillId="9" borderId="0" xfId="0" applyFont="1" applyFill="1" applyAlignment="1">
      <alignment horizontal="center" vertical="center"/>
    </xf>
    <xf numFmtId="0" fontId="215" fillId="9" borderId="169" xfId="0" applyFont="1" applyFill="1" applyBorder="1" applyAlignment="1">
      <alignment horizontal="center" vertical="center"/>
    </xf>
    <xf numFmtId="0" fontId="215" fillId="9" borderId="44" xfId="0" applyFont="1" applyFill="1" applyBorder="1" applyAlignment="1">
      <alignment horizontal="center" vertical="center"/>
    </xf>
    <xf numFmtId="0" fontId="215" fillId="9" borderId="24" xfId="0" applyFont="1" applyFill="1" applyBorder="1" applyAlignment="1">
      <alignment horizontal="center" vertical="center"/>
    </xf>
    <xf numFmtId="0" fontId="215" fillId="9" borderId="166" xfId="0" applyFont="1" applyFill="1" applyBorder="1" applyAlignment="1">
      <alignment horizontal="center" vertical="center"/>
    </xf>
    <xf numFmtId="0" fontId="2" fillId="17" borderId="41"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175" xfId="0" applyFont="1" applyFill="1" applyBorder="1" applyAlignment="1">
      <alignment horizontal="center" vertical="center" wrapText="1"/>
    </xf>
    <xf numFmtId="0" fontId="372" fillId="8" borderId="61" xfId="0" applyFont="1" applyFill="1" applyBorder="1" applyAlignment="1">
      <alignment horizontal="center" vertical="center"/>
    </xf>
    <xf numFmtId="0" fontId="372" fillId="8" borderId="111" xfId="0" applyFont="1" applyFill="1" applyBorder="1" applyAlignment="1">
      <alignment horizontal="center" vertical="center"/>
    </xf>
    <xf numFmtId="0" fontId="372" fillId="8" borderId="136" xfId="0" applyFont="1" applyFill="1" applyBorder="1" applyAlignment="1">
      <alignment horizontal="center" vertical="center"/>
    </xf>
    <xf numFmtId="0" fontId="163" fillId="8" borderId="165" xfId="0" applyFont="1" applyFill="1" applyBorder="1" applyAlignment="1">
      <alignment horizontal="center" vertical="center"/>
    </xf>
    <xf numFmtId="0" fontId="163" fillId="8" borderId="24" xfId="0" applyFont="1" applyFill="1" applyBorder="1" applyAlignment="1">
      <alignment horizontal="center" vertical="center"/>
    </xf>
    <xf numFmtId="49" fontId="74" fillId="0" borderId="9" xfId="0" applyNumberFormat="1" applyFont="1" applyBorder="1" applyAlignment="1">
      <alignment horizontal="center" vertical="center"/>
    </xf>
    <xf numFmtId="49" fontId="74" fillId="0" borderId="177" xfId="0" applyNumberFormat="1" applyFont="1" applyBorder="1" applyAlignment="1">
      <alignment horizontal="center" vertical="center"/>
    </xf>
    <xf numFmtId="0" fontId="167" fillId="9" borderId="21" xfId="0" applyFont="1" applyFill="1" applyBorder="1" applyAlignment="1">
      <alignment horizontal="center" vertical="center"/>
    </xf>
    <xf numFmtId="0" fontId="167" fillId="9" borderId="179" xfId="0" applyFont="1" applyFill="1" applyBorder="1" applyAlignment="1">
      <alignment horizontal="center" vertical="center"/>
    </xf>
    <xf numFmtId="0" fontId="14" fillId="0" borderId="45" xfId="0" applyFont="1" applyBorder="1" applyAlignment="1">
      <alignment vertical="center"/>
    </xf>
    <xf numFmtId="0" fontId="14" fillId="0" borderId="24" xfId="0" applyFont="1" applyBorder="1" applyAlignment="1">
      <alignment vertical="center"/>
    </xf>
    <xf numFmtId="0" fontId="9" fillId="0" borderId="138" xfId="0" applyFont="1" applyBorder="1" applyAlignment="1">
      <alignment horizontal="right" vertical="center" wrapText="1"/>
    </xf>
    <xf numFmtId="0" fontId="215" fillId="9" borderId="44" xfId="0" applyFont="1" applyFill="1" applyBorder="1" applyAlignment="1">
      <alignment horizontal="center" vertical="top"/>
    </xf>
    <xf numFmtId="0" fontId="215" fillId="9" borderId="24" xfId="0" applyFont="1" applyFill="1" applyBorder="1" applyAlignment="1">
      <alignment horizontal="center" vertical="top"/>
    </xf>
    <xf numFmtId="0" fontId="215" fillId="9" borderId="166" xfId="0" applyFont="1" applyFill="1" applyBorder="1" applyAlignment="1">
      <alignment horizontal="center" vertical="top"/>
    </xf>
    <xf numFmtId="0" fontId="185" fillId="11" borderId="181" xfId="0" applyFont="1" applyFill="1" applyBorder="1" applyAlignment="1">
      <alignment horizontal="center" vertical="center"/>
    </xf>
    <xf numFmtId="0" fontId="185" fillId="11" borderId="0" xfId="0" applyFont="1" applyFill="1" applyAlignment="1">
      <alignment horizontal="center" vertical="center"/>
    </xf>
    <xf numFmtId="0" fontId="185" fillId="11" borderId="46" xfId="0" applyFont="1" applyFill="1" applyBorder="1" applyAlignment="1">
      <alignment horizontal="center" vertical="center"/>
    </xf>
    <xf numFmtId="0" fontId="185" fillId="11" borderId="170" xfId="0" applyFont="1" applyFill="1" applyBorder="1" applyAlignment="1">
      <alignment horizontal="center" vertical="center"/>
    </xf>
    <xf numFmtId="0" fontId="185" fillId="11" borderId="45" xfId="0" applyFont="1" applyFill="1" applyBorder="1" applyAlignment="1">
      <alignment horizontal="center" vertical="center"/>
    </xf>
    <xf numFmtId="0" fontId="185" fillId="11" borderId="135" xfId="0" applyFont="1" applyFill="1" applyBorder="1" applyAlignment="1">
      <alignment horizontal="center" vertical="center"/>
    </xf>
    <xf numFmtId="0" fontId="172" fillId="11" borderId="181" xfId="0" applyFont="1" applyFill="1" applyBorder="1" applyAlignment="1">
      <alignment horizontal="right" vertical="top"/>
    </xf>
    <xf numFmtId="0" fontId="172" fillId="11" borderId="0" xfId="0" applyFont="1" applyFill="1" applyAlignment="1">
      <alignment horizontal="right" vertical="top"/>
    </xf>
    <xf numFmtId="0" fontId="115" fillId="11" borderId="172" xfId="0" applyFont="1" applyFill="1" applyBorder="1" applyAlignment="1">
      <alignment horizontal="center" vertical="center"/>
    </xf>
    <xf numFmtId="0" fontId="115" fillId="11" borderId="24" xfId="0" applyFont="1" applyFill="1" applyBorder="1" applyAlignment="1">
      <alignment horizontal="center" vertical="center"/>
    </xf>
    <xf numFmtId="0" fontId="115" fillId="11" borderId="25" xfId="0" applyFont="1" applyFill="1" applyBorder="1" applyAlignment="1">
      <alignment horizontal="center" vertical="center"/>
    </xf>
    <xf numFmtId="0" fontId="215" fillId="11" borderId="170" xfId="0" applyFont="1" applyFill="1" applyBorder="1" applyAlignment="1">
      <alignment horizontal="center"/>
    </xf>
    <xf numFmtId="0" fontId="215" fillId="11" borderId="45" xfId="0" applyFont="1" applyFill="1" applyBorder="1" applyAlignment="1">
      <alignment horizontal="center"/>
    </xf>
    <xf numFmtId="0" fontId="215" fillId="11" borderId="135" xfId="0" applyFont="1" applyFill="1" applyBorder="1" applyAlignment="1">
      <alignment horizontal="center"/>
    </xf>
    <xf numFmtId="0" fontId="185" fillId="11" borderId="129" xfId="0" applyFont="1" applyFill="1" applyBorder="1" applyAlignment="1">
      <alignment horizontal="center" vertical="center"/>
    </xf>
    <xf numFmtId="0" fontId="185" fillId="11" borderId="92" xfId="0" applyFont="1" applyFill="1" applyBorder="1" applyAlignment="1">
      <alignment horizontal="center" vertical="center"/>
    </xf>
    <xf numFmtId="0" fontId="2" fillId="8" borderId="201" xfId="0" applyFont="1" applyFill="1" applyBorder="1" applyAlignment="1">
      <alignment horizontal="center"/>
    </xf>
    <xf numFmtId="0" fontId="2" fillId="8" borderId="17" xfId="0" applyFont="1" applyFill="1" applyBorder="1" applyAlignment="1">
      <alignment horizontal="center"/>
    </xf>
    <xf numFmtId="0" fontId="2" fillId="8" borderId="29" xfId="0" applyFont="1" applyFill="1" applyBorder="1" applyAlignment="1">
      <alignment horizontal="center"/>
    </xf>
    <xf numFmtId="0" fontId="278" fillId="19" borderId="124" xfId="0" applyFont="1" applyFill="1" applyBorder="1" applyAlignment="1">
      <alignment horizontal="center" vertical="center" wrapText="1"/>
    </xf>
    <xf numFmtId="0" fontId="278" fillId="19" borderId="92" xfId="0" applyFont="1" applyFill="1" applyBorder="1" applyAlignment="1">
      <alignment horizontal="center" vertical="center" wrapText="1"/>
    </xf>
    <xf numFmtId="0" fontId="278" fillId="19" borderId="43" xfId="0" applyFont="1" applyFill="1" applyBorder="1" applyAlignment="1">
      <alignment horizontal="center" vertical="center" wrapText="1"/>
    </xf>
    <xf numFmtId="0" fontId="278" fillId="19" borderId="18" xfId="0" applyFont="1" applyFill="1" applyBorder="1" applyAlignment="1">
      <alignment horizontal="center" vertical="center" wrapText="1"/>
    </xf>
    <xf numFmtId="0" fontId="260" fillId="19" borderId="44" xfId="0" applyFont="1" applyFill="1" applyBorder="1" applyAlignment="1">
      <alignment horizontal="center" vertical="center" wrapText="1"/>
    </xf>
    <xf numFmtId="0" fontId="260" fillId="19" borderId="22" xfId="0" applyFont="1" applyFill="1" applyBorder="1" applyAlignment="1">
      <alignment horizontal="center" vertical="center" wrapText="1"/>
    </xf>
    <xf numFmtId="165" fontId="264" fillId="0" borderId="54" xfId="0" applyNumberFormat="1" applyFont="1" applyBorder="1" applyAlignment="1">
      <alignment horizontal="center" vertical="center"/>
    </xf>
    <xf numFmtId="165" fontId="264" fillId="0" borderId="13" xfId="0" applyNumberFormat="1" applyFont="1" applyBorder="1" applyAlignment="1">
      <alignment horizontal="center" vertical="center"/>
    </xf>
    <xf numFmtId="0" fontId="261" fillId="0" borderId="124" xfId="0" applyFont="1" applyBorder="1" applyAlignment="1">
      <alignment horizontal="center" vertical="center"/>
    </xf>
    <xf numFmtId="0" fontId="261" fillId="0" borderId="45" xfId="0" applyFont="1" applyBorder="1" applyAlignment="1">
      <alignment horizontal="center" vertical="center"/>
    </xf>
    <xf numFmtId="0" fontId="261" fillId="0" borderId="44" xfId="0" applyFont="1" applyBorder="1" applyAlignment="1">
      <alignment horizontal="center" vertical="center"/>
    </xf>
    <xf numFmtId="0" fontId="261" fillId="0" borderId="24" xfId="0" applyFont="1" applyBorder="1" applyAlignment="1">
      <alignment horizontal="center" vertical="center"/>
    </xf>
    <xf numFmtId="0" fontId="56" fillId="0" borderId="40" xfId="0" applyFont="1" applyBorder="1" applyAlignment="1">
      <alignment vertical="center"/>
    </xf>
    <xf numFmtId="0" fontId="56" fillId="0" borderId="4" xfId="0" applyFont="1" applyBorder="1" applyAlignment="1">
      <alignment vertical="center"/>
    </xf>
    <xf numFmtId="0" fontId="264" fillId="24" borderId="10" xfId="0" applyFont="1" applyFill="1" applyBorder="1" applyAlignment="1">
      <alignment vertical="center"/>
    </xf>
    <xf numFmtId="0" fontId="264" fillId="24" borderId="5" xfId="0" applyFont="1" applyFill="1" applyBorder="1" applyAlignment="1">
      <alignment vertical="center"/>
    </xf>
    <xf numFmtId="0" fontId="261" fillId="0" borderId="85" xfId="0" applyFont="1" applyBorder="1" applyAlignment="1">
      <alignment horizontal="center" vertical="center" wrapText="1"/>
    </xf>
    <xf numFmtId="0" fontId="261" fillId="0" borderId="117" xfId="0" applyFont="1" applyBorder="1" applyAlignment="1">
      <alignment horizontal="center" vertical="center" wrapText="1"/>
    </xf>
    <xf numFmtId="0" fontId="261" fillId="0" borderId="56" xfId="0" applyFont="1" applyBorder="1" applyAlignment="1">
      <alignment horizontal="center" vertical="center" wrapText="1"/>
    </xf>
    <xf numFmtId="0" fontId="306" fillId="0" borderId="124" xfId="0" applyFont="1" applyBorder="1" applyAlignment="1">
      <alignment horizontal="center" vertical="center"/>
    </xf>
    <xf numFmtId="0" fontId="306" fillId="0" borderId="135" xfId="0" applyFont="1" applyBorder="1" applyAlignment="1">
      <alignment horizontal="center" vertical="center"/>
    </xf>
    <xf numFmtId="0" fontId="306" fillId="0" borderId="51" xfId="0" applyFont="1" applyBorder="1" applyAlignment="1">
      <alignment horizontal="center" vertical="center"/>
    </xf>
    <xf numFmtId="0" fontId="306" fillId="0" borderId="46" xfId="0" applyFont="1" applyBorder="1" applyAlignment="1">
      <alignment horizontal="center" vertical="center"/>
    </xf>
    <xf numFmtId="0" fontId="306" fillId="0" borderId="44" xfId="0" applyFont="1" applyBorder="1" applyAlignment="1">
      <alignment horizontal="center" vertical="center"/>
    </xf>
    <xf numFmtId="0" fontId="306" fillId="0" borderId="25" xfId="0" applyFont="1" applyBorder="1" applyAlignment="1">
      <alignment horizontal="center" vertical="center"/>
    </xf>
    <xf numFmtId="0" fontId="292" fillId="0" borderId="48" xfId="0" applyFont="1" applyBorder="1" applyAlignment="1">
      <alignment vertical="center" wrapText="1"/>
    </xf>
    <xf numFmtId="0" fontId="292" fillId="0" borderId="0" xfId="0" applyFont="1" applyAlignment="1">
      <alignment vertical="center" wrapText="1"/>
    </xf>
    <xf numFmtId="0" fontId="292" fillId="0" borderId="28" xfId="0" applyFont="1" applyBorder="1" applyAlignment="1">
      <alignment vertical="center" wrapText="1"/>
    </xf>
    <xf numFmtId="0" fontId="292" fillId="0" borderId="27" xfId="0" applyFont="1" applyBorder="1" applyAlignment="1">
      <alignment vertical="center" wrapText="1"/>
    </xf>
    <xf numFmtId="0" fontId="292" fillId="0" borderId="24" xfId="0" applyFont="1" applyBorder="1" applyAlignment="1">
      <alignment vertical="center" wrapText="1"/>
    </xf>
    <xf numFmtId="0" fontId="292" fillId="0" borderId="22" xfId="0" applyFont="1" applyBorder="1" applyAlignment="1">
      <alignment vertical="center" wrapText="1"/>
    </xf>
    <xf numFmtId="165" fontId="260" fillId="0" borderId="9" xfId="0" applyNumberFormat="1" applyFont="1" applyBorder="1" applyAlignment="1">
      <alignment horizontal="center" vertical="center"/>
    </xf>
    <xf numFmtId="165" fontId="260" fillId="0" borderId="11" xfId="0" applyNumberFormat="1" applyFont="1" applyBorder="1" applyAlignment="1">
      <alignment horizontal="center" vertical="center"/>
    </xf>
    <xf numFmtId="0" fontId="261" fillId="0" borderId="124" xfId="0" applyFont="1" applyBorder="1" applyAlignment="1">
      <alignment horizontal="center" vertical="center" wrapText="1"/>
    </xf>
    <xf numFmtId="0" fontId="261" fillId="0" borderId="51" xfId="0" applyFont="1" applyBorder="1" applyAlignment="1">
      <alignment horizontal="center" vertical="center" wrapText="1"/>
    </xf>
    <xf numFmtId="0" fontId="261" fillId="0" borderId="44" xfId="0" applyFont="1" applyBorder="1" applyAlignment="1">
      <alignment horizontal="center" vertical="center" wrapText="1"/>
    </xf>
    <xf numFmtId="0" fontId="261" fillId="0" borderId="41" xfId="0" applyFont="1" applyBorder="1" applyAlignment="1">
      <alignment horizontal="center" vertical="center" wrapText="1"/>
    </xf>
    <xf numFmtId="0" fontId="261" fillId="0" borderId="29" xfId="0" applyFont="1" applyBorder="1" applyAlignment="1">
      <alignment horizontal="center" vertical="center" wrapText="1"/>
    </xf>
    <xf numFmtId="0" fontId="260" fillId="19" borderId="41" xfId="0" applyFont="1" applyFill="1" applyBorder="1" applyAlignment="1">
      <alignment horizontal="center" vertical="center"/>
    </xf>
    <xf numFmtId="0" fontId="260" fillId="19" borderId="17" xfId="0" applyFont="1" applyFill="1" applyBorder="1" applyAlignment="1">
      <alignment horizontal="center" vertical="center"/>
    </xf>
    <xf numFmtId="0" fontId="260" fillId="19" borderId="29" xfId="0" applyFont="1" applyFill="1" applyBorder="1" applyAlignment="1">
      <alignment horizontal="center" vertical="center"/>
    </xf>
    <xf numFmtId="0" fontId="107" fillId="25" borderId="0" xfId="0" applyFont="1" applyFill="1" applyAlignment="1">
      <alignment horizontal="right" vertical="center"/>
    </xf>
    <xf numFmtId="0" fontId="264" fillId="0" borderId="54" xfId="0" applyFont="1" applyBorder="1" applyAlignment="1">
      <alignment horizontal="right" vertical="center"/>
    </xf>
    <xf numFmtId="0" fontId="264" fillId="0" borderId="5" xfId="0" applyFont="1" applyBorder="1" applyAlignment="1">
      <alignment horizontal="right" vertical="center"/>
    </xf>
    <xf numFmtId="0" fontId="264" fillId="0" borderId="12" xfId="0" applyFont="1" applyBorder="1" applyAlignment="1">
      <alignment horizontal="right" vertical="center"/>
    </xf>
    <xf numFmtId="0" fontId="261" fillId="19" borderId="40" xfId="0" applyFont="1" applyFill="1" applyBorder="1" applyAlignment="1">
      <alignment horizontal="center" vertical="center" wrapText="1"/>
    </xf>
    <xf numFmtId="0" fontId="261" fillId="19" borderId="3" xfId="0" applyFont="1" applyFill="1" applyBorder="1" applyAlignment="1">
      <alignment horizontal="center" vertical="center" wrapText="1"/>
    </xf>
    <xf numFmtId="0" fontId="261" fillId="19" borderId="4" xfId="0" applyFont="1" applyFill="1" applyBorder="1" applyAlignment="1">
      <alignment horizontal="center" vertical="center" wrapText="1"/>
    </xf>
    <xf numFmtId="0" fontId="261" fillId="0" borderId="135" xfId="0" applyFont="1" applyBorder="1" applyAlignment="1">
      <alignment horizontal="center" vertical="center" wrapText="1"/>
    </xf>
    <xf numFmtId="0" fontId="261" fillId="0" borderId="25" xfId="0" applyFont="1" applyBorder="1" applyAlignment="1">
      <alignment horizontal="center" vertical="center" wrapText="1"/>
    </xf>
    <xf numFmtId="0" fontId="290" fillId="0" borderId="85" xfId="0" applyFont="1" applyBorder="1" applyAlignment="1">
      <alignment horizontal="center" vertical="center" wrapText="1"/>
    </xf>
    <xf numFmtId="0" fontId="290" fillId="0" borderId="117" xfId="0" applyFont="1" applyBorder="1" applyAlignment="1">
      <alignment horizontal="center" vertical="center" wrapText="1"/>
    </xf>
    <xf numFmtId="0" fontId="290" fillId="0" borderId="56" xfId="0" applyFont="1" applyBorder="1" applyAlignment="1">
      <alignment horizontal="center" vertical="center" wrapText="1"/>
    </xf>
    <xf numFmtId="0" fontId="28" fillId="0" borderId="0" xfId="0" applyFont="1" applyAlignment="1">
      <alignment horizontal="center" vertical="center"/>
    </xf>
    <xf numFmtId="0" fontId="264" fillId="0" borderId="42" xfId="0" applyFont="1" applyBorder="1" applyAlignment="1">
      <alignment horizontal="right" vertical="center"/>
    </xf>
    <xf numFmtId="0" fontId="264" fillId="0" borderId="8" xfId="0" applyFont="1" applyBorder="1" applyAlignment="1">
      <alignment horizontal="right" vertical="center"/>
    </xf>
    <xf numFmtId="0" fontId="264" fillId="0" borderId="11" xfId="0" applyFont="1" applyBorder="1" applyAlignment="1">
      <alignment horizontal="right" vertical="center"/>
    </xf>
    <xf numFmtId="0" fontId="265" fillId="0" borderId="41" xfId="0" applyFont="1" applyBorder="1" applyAlignment="1">
      <alignment horizontal="right" vertical="center"/>
    </xf>
    <xf numFmtId="0" fontId="265" fillId="0" borderId="17" xfId="0" applyFont="1" applyBorder="1" applyAlignment="1">
      <alignment horizontal="right" vertical="center"/>
    </xf>
    <xf numFmtId="0" fontId="265" fillId="0" borderId="29" xfId="0" applyFont="1" applyBorder="1" applyAlignment="1">
      <alignment horizontal="right" vertical="center"/>
    </xf>
    <xf numFmtId="0" fontId="258" fillId="0" borderId="24" xfId="0" applyFont="1" applyBorder="1" applyAlignment="1">
      <alignment vertical="center"/>
    </xf>
    <xf numFmtId="0" fontId="278" fillId="19" borderId="141" xfId="0" applyFont="1" applyFill="1" applyBorder="1" applyAlignment="1">
      <alignment horizontal="center" vertical="center" wrapText="1"/>
    </xf>
    <xf numFmtId="0" fontId="278" fillId="19" borderId="82" xfId="0" applyFont="1" applyFill="1" applyBorder="1" applyAlignment="1">
      <alignment horizontal="center" vertical="center" wrapText="1"/>
    </xf>
    <xf numFmtId="0" fontId="28" fillId="0" borderId="0" xfId="0" applyFont="1" applyAlignment="1">
      <alignment horizontal="center" vertical="center" wrapText="1"/>
    </xf>
    <xf numFmtId="0" fontId="259" fillId="20" borderId="123" xfId="0" applyFont="1" applyFill="1" applyBorder="1" applyAlignment="1">
      <alignment horizontal="center" vertical="top" wrapText="1"/>
    </xf>
    <xf numFmtId="0" fontId="259" fillId="20" borderId="113" xfId="0" applyFont="1" applyFill="1" applyBorder="1" applyAlignment="1">
      <alignment horizontal="center" vertical="top" wrapText="1"/>
    </xf>
    <xf numFmtId="0" fontId="259" fillId="20" borderId="142" xfId="0" applyFont="1" applyFill="1" applyBorder="1" applyAlignment="1">
      <alignment horizontal="center" vertical="top" wrapText="1"/>
    </xf>
    <xf numFmtId="165" fontId="264" fillId="0" borderId="24" xfId="0" applyNumberFormat="1" applyFont="1" applyBorder="1" applyAlignment="1">
      <alignment horizontal="center" vertical="center"/>
    </xf>
    <xf numFmtId="165" fontId="264" fillId="0" borderId="22" xfId="0" applyNumberFormat="1" applyFont="1" applyBorder="1" applyAlignment="1">
      <alignment horizontal="center" vertical="center"/>
    </xf>
    <xf numFmtId="177" fontId="264" fillId="0" borderId="42" xfId="0" applyNumberFormat="1" applyFont="1" applyBorder="1" applyAlignment="1">
      <alignment horizontal="center" vertical="center"/>
    </xf>
    <xf numFmtId="177" fontId="264" fillId="0" borderId="23" xfId="0" applyNumberFormat="1" applyFont="1" applyBorder="1" applyAlignment="1">
      <alignment horizontal="center" vertical="center"/>
    </xf>
    <xf numFmtId="165" fontId="264" fillId="0" borderId="40" xfId="0" applyNumberFormat="1" applyFont="1" applyBorder="1" applyAlignment="1">
      <alignment horizontal="center" vertical="center"/>
    </xf>
    <xf numFmtId="165" fontId="264" fillId="0" borderId="4" xfId="0" applyNumberFormat="1" applyFont="1" applyBorder="1" applyAlignment="1">
      <alignment horizontal="center" vertical="center"/>
    </xf>
    <xf numFmtId="0" fontId="261" fillId="0" borderId="40" xfId="0" applyFont="1" applyBorder="1" applyAlignment="1">
      <alignment horizontal="center" vertical="center"/>
    </xf>
    <xf numFmtId="0" fontId="261" fillId="0" borderId="19" xfId="0" applyFont="1" applyBorder="1" applyAlignment="1">
      <alignment horizontal="center" vertical="center"/>
    </xf>
    <xf numFmtId="0" fontId="261" fillId="0" borderId="135" xfId="0" applyFont="1" applyBorder="1" applyAlignment="1">
      <alignment horizontal="center" vertical="center"/>
    </xf>
    <xf numFmtId="0" fontId="261" fillId="0" borderId="25" xfId="0" applyFont="1" applyBorder="1" applyAlignment="1">
      <alignment horizontal="center" vertical="center"/>
    </xf>
    <xf numFmtId="0" fontId="261" fillId="0" borderId="41" xfId="0" applyFont="1" applyBorder="1" applyAlignment="1">
      <alignment horizontal="center" vertical="center"/>
    </xf>
    <xf numFmtId="0" fontId="261" fillId="0" borderId="17" xfId="0" applyFont="1" applyBorder="1" applyAlignment="1">
      <alignment horizontal="center" vertical="center"/>
    </xf>
    <xf numFmtId="0" fontId="261" fillId="0" borderId="29" xfId="0" applyFont="1" applyBorder="1" applyAlignment="1">
      <alignment horizontal="center" vertical="center"/>
    </xf>
    <xf numFmtId="0" fontId="264" fillId="0" borderId="41" xfId="0" applyFont="1" applyBorder="1" applyAlignment="1">
      <alignment horizontal="center" vertical="center" wrapText="1"/>
    </xf>
    <xf numFmtId="0" fontId="264" fillId="0" borderId="29" xfId="0" applyFont="1" applyBorder="1" applyAlignment="1">
      <alignment horizontal="center" vertical="center" wrapText="1"/>
    </xf>
    <xf numFmtId="0" fontId="290" fillId="0" borderId="124" xfId="0" applyFont="1" applyBorder="1" applyAlignment="1">
      <alignment horizontal="right" vertical="center" wrapText="1"/>
    </xf>
    <xf numFmtId="0" fontId="290" fillId="0" borderId="135" xfId="0" applyFont="1" applyBorder="1" applyAlignment="1">
      <alignment horizontal="right" vertical="center" wrapText="1"/>
    </xf>
    <xf numFmtId="0" fontId="290" fillId="0" borderId="51" xfId="0" applyFont="1" applyBorder="1" applyAlignment="1">
      <alignment horizontal="right" vertical="center" wrapText="1"/>
    </xf>
    <xf numFmtId="0" fontId="290" fillId="0" borderId="46" xfId="0" applyFont="1" applyBorder="1" applyAlignment="1">
      <alignment horizontal="right" vertical="center" wrapText="1"/>
    </xf>
    <xf numFmtId="0" fontId="290" fillId="0" borderId="44" xfId="0" applyFont="1" applyBorder="1" applyAlignment="1">
      <alignment horizontal="right" vertical="center" wrapText="1"/>
    </xf>
    <xf numFmtId="0" fontId="290" fillId="0" borderId="25" xfId="0" applyFont="1" applyBorder="1" applyAlignment="1">
      <alignment horizontal="right" vertical="center" wrapText="1"/>
    </xf>
    <xf numFmtId="0" fontId="260" fillId="0" borderId="124" xfId="0" applyFont="1" applyBorder="1" applyAlignment="1">
      <alignment horizontal="center" vertical="center"/>
    </xf>
    <xf numFmtId="0" fontId="260" fillId="0" borderId="135" xfId="0" applyFont="1" applyBorder="1" applyAlignment="1">
      <alignment horizontal="center" vertical="center"/>
    </xf>
    <xf numFmtId="0" fontId="260" fillId="0" borderId="51" xfId="0" applyFont="1" applyBorder="1" applyAlignment="1">
      <alignment horizontal="center" vertical="center"/>
    </xf>
    <xf numFmtId="0" fontId="260" fillId="0" borderId="46" xfId="0" applyFont="1" applyBorder="1" applyAlignment="1">
      <alignment horizontal="center" vertical="center"/>
    </xf>
    <xf numFmtId="0" fontId="260" fillId="0" borderId="44" xfId="0" applyFont="1" applyBorder="1" applyAlignment="1">
      <alignment horizontal="center" vertical="center"/>
    </xf>
    <xf numFmtId="0" fontId="260" fillId="0" borderId="25" xfId="0" applyFont="1" applyBorder="1" applyAlignment="1">
      <alignment horizontal="center" vertical="center"/>
    </xf>
    <xf numFmtId="171" fontId="264" fillId="0" borderId="10" xfId="0" applyNumberFormat="1" applyFont="1" applyBorder="1" applyAlignment="1">
      <alignment horizontal="center" vertical="center"/>
    </xf>
    <xf numFmtId="171" fontId="264" fillId="0" borderId="12" xfId="0" applyNumberFormat="1" applyFont="1" applyBorder="1" applyAlignment="1">
      <alignment horizontal="center" vertical="center"/>
    </xf>
    <xf numFmtId="165" fontId="265" fillId="0" borderId="9" xfId="0" applyNumberFormat="1" applyFont="1" applyBorder="1" applyAlignment="1">
      <alignment horizontal="center" vertical="center"/>
    </xf>
    <xf numFmtId="165" fontId="265" fillId="0" borderId="11" xfId="0" applyNumberFormat="1" applyFont="1" applyBorder="1" applyAlignment="1">
      <alignment horizontal="center" vertical="center"/>
    </xf>
    <xf numFmtId="0" fontId="264" fillId="0" borderId="21" xfId="0" applyFont="1" applyBorder="1" applyAlignment="1">
      <alignment horizontal="center" vertical="center"/>
    </xf>
    <xf numFmtId="0" fontId="264" fillId="0" borderId="19" xfId="0" applyFont="1" applyBorder="1" applyAlignment="1">
      <alignment horizontal="center" vertical="center"/>
    </xf>
    <xf numFmtId="165" fontId="265" fillId="0" borderId="15" xfId="0" applyNumberFormat="1" applyFont="1" applyBorder="1" applyAlignment="1">
      <alignment horizontal="center" vertical="center"/>
    </xf>
    <xf numFmtId="165" fontId="265" fillId="0" borderId="29" xfId="0" applyNumberFormat="1" applyFont="1" applyBorder="1" applyAlignment="1">
      <alignment horizontal="center" vertical="center"/>
    </xf>
    <xf numFmtId="0" fontId="261" fillId="0" borderId="3" xfId="0" applyFont="1" applyBorder="1" applyAlignment="1">
      <alignment horizontal="center" vertical="center"/>
    </xf>
    <xf numFmtId="0" fontId="185" fillId="11" borderId="129" xfId="0" applyFont="1" applyFill="1" applyBorder="1" applyAlignment="1">
      <alignment horizontal="center"/>
    </xf>
    <xf numFmtId="0" fontId="185" fillId="11" borderId="45" xfId="0" applyFont="1" applyFill="1" applyBorder="1" applyAlignment="1">
      <alignment horizontal="center"/>
    </xf>
    <xf numFmtId="0" fontId="185" fillId="11" borderId="92" xfId="0" applyFont="1" applyFill="1" applyBorder="1" applyAlignment="1">
      <alignment horizontal="center"/>
    </xf>
    <xf numFmtId="0" fontId="120" fillId="0" borderId="0" xfId="0" applyFont="1" applyAlignment="1">
      <alignment horizontal="center" vertical="center" wrapText="1"/>
    </xf>
    <xf numFmtId="0" fontId="282" fillId="0" borderId="10" xfId="0" applyFont="1" applyBorder="1" applyAlignment="1">
      <alignment vertical="center"/>
    </xf>
    <xf numFmtId="0" fontId="282" fillId="0" borderId="13" xfId="0" applyFont="1" applyBorder="1" applyAlignment="1">
      <alignment vertical="center"/>
    </xf>
    <xf numFmtId="0" fontId="282" fillId="0" borderId="9" xfId="0" applyFont="1" applyBorder="1" applyAlignment="1">
      <alignment vertical="center"/>
    </xf>
    <xf numFmtId="0" fontId="282" fillId="0" borderId="23" xfId="0" applyFont="1" applyBorder="1" applyAlignment="1">
      <alignment vertical="center"/>
    </xf>
    <xf numFmtId="0" fontId="15" fillId="0" borderId="0" xfId="0" applyFont="1" applyAlignment="1">
      <alignment horizontal="left" vertical="center"/>
    </xf>
    <xf numFmtId="0" fontId="106" fillId="0" borderId="0" xfId="0" applyFont="1" applyAlignment="1">
      <alignment vertical="center"/>
    </xf>
    <xf numFmtId="0" fontId="261" fillId="0" borderId="17" xfId="0" applyFont="1" applyBorder="1" applyAlignment="1">
      <alignment horizontal="center" vertical="center" wrapText="1"/>
    </xf>
    <xf numFmtId="0" fontId="260" fillId="19" borderId="15" xfId="0" applyFont="1" applyFill="1" applyBorder="1" applyAlignment="1">
      <alignment horizontal="center" vertical="center"/>
    </xf>
    <xf numFmtId="0" fontId="260" fillId="19" borderId="37" xfId="0" applyFont="1" applyFill="1" applyBorder="1" applyAlignment="1">
      <alignment horizontal="center" vertical="center"/>
    </xf>
    <xf numFmtId="0" fontId="261" fillId="0" borderId="51" xfId="0" applyFont="1" applyBorder="1" applyAlignment="1">
      <alignment horizontal="right" vertical="center"/>
    </xf>
    <xf numFmtId="0" fontId="261" fillId="0" borderId="0" xfId="0" applyFont="1" applyAlignment="1">
      <alignment horizontal="right" vertical="center"/>
    </xf>
    <xf numFmtId="0" fontId="261" fillId="0" borderId="44" xfId="0" applyFont="1" applyBorder="1" applyAlignment="1">
      <alignment horizontal="right" vertical="center"/>
    </xf>
    <xf numFmtId="0" fontId="261" fillId="0" borderId="24" xfId="0" applyFont="1" applyBorder="1" applyAlignment="1">
      <alignment horizontal="right" vertical="center"/>
    </xf>
    <xf numFmtId="0" fontId="260" fillId="19" borderId="43" xfId="0" applyFont="1" applyFill="1" applyBorder="1" applyAlignment="1">
      <alignment horizontal="center" vertical="center" wrapText="1"/>
    </xf>
    <xf numFmtId="0" fontId="260" fillId="19" borderId="16" xfId="0" applyFont="1" applyFill="1" applyBorder="1" applyAlignment="1">
      <alignment horizontal="center" vertical="center" wrapText="1"/>
    </xf>
    <xf numFmtId="0" fontId="260" fillId="19" borderId="18" xfId="0" applyFont="1" applyFill="1" applyBorder="1" applyAlignment="1">
      <alignment horizontal="center" vertical="center" wrapText="1"/>
    </xf>
    <xf numFmtId="0" fontId="261" fillId="0" borderId="45" xfId="0" applyFont="1" applyBorder="1" applyAlignment="1">
      <alignment horizontal="center" vertical="center" wrapText="1"/>
    </xf>
    <xf numFmtId="0" fontId="261" fillId="0" borderId="0" xfId="0" applyFont="1" applyAlignment="1">
      <alignment horizontal="center" vertical="center" wrapText="1"/>
    </xf>
    <xf numFmtId="0" fontId="261" fillId="0" borderId="46" xfId="0" applyFont="1" applyBorder="1" applyAlignment="1">
      <alignment horizontal="center" vertical="center" wrapText="1"/>
    </xf>
    <xf numFmtId="0" fontId="261" fillId="0" borderId="24" xfId="0" applyFont="1" applyBorder="1" applyAlignment="1">
      <alignment horizontal="center" vertical="center" wrapText="1"/>
    </xf>
    <xf numFmtId="0" fontId="260" fillId="19" borderId="124" xfId="0" applyFont="1" applyFill="1" applyBorder="1" applyAlignment="1">
      <alignment horizontal="center" vertical="center" wrapText="1"/>
    </xf>
    <xf numFmtId="0" fontId="260" fillId="19" borderId="45" xfId="0" applyFont="1" applyFill="1" applyBorder="1" applyAlignment="1">
      <alignment horizontal="center" vertical="center" wrapText="1"/>
    </xf>
    <xf numFmtId="0" fontId="260" fillId="19" borderId="92" xfId="0" applyFont="1" applyFill="1" applyBorder="1" applyAlignment="1">
      <alignment horizontal="center" vertical="center" wrapText="1"/>
    </xf>
    <xf numFmtId="0" fontId="260" fillId="19" borderId="24" xfId="0" applyFont="1" applyFill="1" applyBorder="1" applyAlignment="1">
      <alignment horizontal="center" vertical="center" wrapText="1"/>
    </xf>
    <xf numFmtId="0" fontId="261" fillId="0" borderId="42" xfId="0" applyFont="1" applyBorder="1" applyAlignment="1">
      <alignment horizontal="center" vertical="center"/>
    </xf>
    <xf numFmtId="0" fontId="261" fillId="0" borderId="11" xfId="0" applyFont="1" applyBorder="1" applyAlignment="1">
      <alignment horizontal="center" vertical="center"/>
    </xf>
    <xf numFmtId="0" fontId="261" fillId="0" borderId="51" xfId="0" applyFont="1" applyBorder="1" applyAlignment="1">
      <alignment horizontal="center" vertical="center"/>
    </xf>
    <xf numFmtId="0" fontId="264" fillId="0" borderId="41" xfId="0" applyFont="1" applyBorder="1" applyAlignment="1">
      <alignment horizontal="right" vertical="center"/>
    </xf>
    <xf numFmtId="0" fontId="264" fillId="0" borderId="17" xfId="0" applyFont="1" applyBorder="1" applyAlignment="1">
      <alignment horizontal="right" vertical="center"/>
    </xf>
    <xf numFmtId="0" fontId="264" fillId="0" borderId="29" xfId="0" applyFont="1" applyBorder="1" applyAlignment="1">
      <alignment horizontal="right" vertical="center"/>
    </xf>
    <xf numFmtId="0" fontId="3" fillId="0" borderId="0" xfId="0" applyFont="1" applyAlignment="1">
      <alignment horizontal="left" vertical="center" wrapText="1"/>
    </xf>
    <xf numFmtId="0" fontId="278" fillId="19" borderId="3" xfId="0" applyFont="1" applyFill="1" applyBorder="1" applyAlignment="1">
      <alignment horizontal="center" vertical="center" wrapText="1"/>
    </xf>
    <xf numFmtId="0" fontId="278" fillId="19" borderId="4" xfId="0" applyFont="1" applyFill="1" applyBorder="1" applyAlignment="1">
      <alignment horizontal="center" vertical="center" wrapText="1"/>
    </xf>
    <xf numFmtId="164" fontId="260" fillId="0" borderId="9" xfId="0" applyNumberFormat="1" applyFont="1" applyBorder="1" applyAlignment="1">
      <alignment horizontal="center" vertical="center"/>
    </xf>
    <xf numFmtId="164" fontId="260" fillId="0" borderId="11" xfId="0" applyNumberFormat="1" applyFont="1" applyBorder="1" applyAlignment="1">
      <alignment horizontal="center" vertical="center"/>
    </xf>
    <xf numFmtId="0" fontId="141" fillId="0" borderId="0" xfId="0" quotePrefix="1" applyFont="1" applyAlignment="1">
      <alignment horizontal="right"/>
    </xf>
    <xf numFmtId="0" fontId="15" fillId="17" borderId="41" xfId="0" applyFont="1" applyFill="1" applyBorder="1" applyAlignment="1">
      <alignment horizontal="center" vertical="center"/>
    </xf>
    <xf numFmtId="0" fontId="15" fillId="17" borderId="17" xfId="0" applyFont="1" applyFill="1" applyBorder="1" applyAlignment="1">
      <alignment horizontal="center" vertical="center"/>
    </xf>
    <xf numFmtId="0" fontId="15" fillId="17" borderId="175" xfId="0" applyFont="1" applyFill="1" applyBorder="1" applyAlignment="1">
      <alignment horizontal="center" vertical="center"/>
    </xf>
    <xf numFmtId="171" fontId="264" fillId="0" borderId="9" xfId="0" applyNumberFormat="1" applyFont="1" applyBorder="1" applyAlignment="1">
      <alignment horizontal="center" vertical="center"/>
    </xf>
    <xf numFmtId="171" fontId="264" fillId="0" borderId="11" xfId="0" applyNumberFormat="1" applyFont="1" applyBorder="1" applyAlignment="1">
      <alignment horizontal="center" vertical="center"/>
    </xf>
    <xf numFmtId="0" fontId="278" fillId="0" borderId="124" xfId="0" applyFont="1" applyBorder="1" applyAlignment="1">
      <alignment horizontal="center" vertical="center" wrapText="1"/>
    </xf>
    <xf numFmtId="0" fontId="278" fillId="0" borderId="135" xfId="0" applyFont="1" applyBorder="1" applyAlignment="1">
      <alignment horizontal="center" vertical="center" wrapText="1"/>
    </xf>
    <xf numFmtId="0" fontId="278" fillId="0" borderId="44" xfId="0" applyFont="1" applyBorder="1" applyAlignment="1">
      <alignment horizontal="center" vertical="center" wrapText="1"/>
    </xf>
    <xf numFmtId="0" fontId="278" fillId="0" borderId="25" xfId="0" applyFont="1" applyBorder="1" applyAlignment="1">
      <alignment horizontal="center" vertical="center" wrapText="1"/>
    </xf>
    <xf numFmtId="0" fontId="261" fillId="0" borderId="46" xfId="0" applyFont="1" applyBorder="1" applyAlignment="1">
      <alignment horizontal="center" vertical="center"/>
    </xf>
    <xf numFmtId="0" fontId="278" fillId="0" borderId="124" xfId="0" applyFont="1" applyBorder="1" applyAlignment="1">
      <alignment horizontal="left" vertical="center" wrapText="1"/>
    </xf>
    <xf numFmtId="0" fontId="278" fillId="0" borderId="45" xfId="0" applyFont="1" applyBorder="1" applyAlignment="1">
      <alignment horizontal="left" vertical="center" wrapText="1"/>
    </xf>
    <xf numFmtId="0" fontId="278" fillId="0" borderId="135" xfId="0" applyFont="1" applyBorder="1" applyAlignment="1">
      <alignment horizontal="left" vertical="center" wrapText="1"/>
    </xf>
    <xf numFmtId="0" fontId="278" fillId="0" borderId="44" xfId="0" applyFont="1" applyBorder="1" applyAlignment="1">
      <alignment horizontal="left" vertical="center" wrapText="1"/>
    </xf>
    <xf numFmtId="0" fontId="278" fillId="0" borderId="24" xfId="0" applyFont="1" applyBorder="1" applyAlignment="1">
      <alignment horizontal="left" vertical="center" wrapText="1"/>
    </xf>
    <xf numFmtId="0" fontId="278" fillId="0" borderId="25" xfId="0" applyFont="1" applyBorder="1" applyAlignment="1">
      <alignment horizontal="left" vertical="center" wrapText="1"/>
    </xf>
    <xf numFmtId="0" fontId="278" fillId="0" borderId="51" xfId="0" applyFont="1" applyBorder="1" applyAlignment="1">
      <alignment horizontal="center" vertical="center" wrapText="1"/>
    </xf>
    <xf numFmtId="0" fontId="278" fillId="0" borderId="46" xfId="0" applyFont="1" applyBorder="1" applyAlignment="1">
      <alignment horizontal="center" vertical="center" wrapText="1"/>
    </xf>
    <xf numFmtId="0" fontId="278" fillId="0" borderId="124" xfId="0" applyFont="1" applyBorder="1" applyAlignment="1">
      <alignment horizontal="left" vertical="center"/>
    </xf>
    <xf numFmtId="0" fontId="278" fillId="0" borderId="45" xfId="0" applyFont="1" applyBorder="1" applyAlignment="1">
      <alignment horizontal="left" vertical="center"/>
    </xf>
    <xf numFmtId="0" fontId="278" fillId="0" borderId="44" xfId="0" applyFont="1" applyBorder="1" applyAlignment="1">
      <alignment horizontal="left" vertical="center"/>
    </xf>
    <xf numFmtId="0" fontId="278" fillId="0" borderId="24" xfId="0" applyFont="1" applyBorder="1" applyAlignment="1">
      <alignment horizontal="left" vertical="center"/>
    </xf>
    <xf numFmtId="0" fontId="261" fillId="0" borderId="8" xfId="0" applyFont="1" applyBorder="1" applyAlignment="1">
      <alignment horizontal="center" vertical="center"/>
    </xf>
    <xf numFmtId="0" fontId="261" fillId="0" borderId="128" xfId="0" applyFont="1" applyBorder="1" applyAlignment="1">
      <alignment horizontal="right" vertical="center"/>
    </xf>
    <xf numFmtId="0" fontId="261" fillId="0" borderId="47" xfId="0" applyFont="1" applyBorder="1" applyAlignment="1">
      <alignment horizontal="right" vertical="center"/>
    </xf>
    <xf numFmtId="0" fontId="261" fillId="0" borderId="2" xfId="0" applyFont="1" applyBorder="1" applyAlignment="1">
      <alignment horizontal="right" vertical="center"/>
    </xf>
    <xf numFmtId="0" fontId="261" fillId="0" borderId="118" xfId="0" applyFont="1" applyBorder="1" applyAlignment="1">
      <alignment horizontal="center" vertical="center" wrapText="1"/>
    </xf>
    <xf numFmtId="0" fontId="261" fillId="0" borderId="122" xfId="0" applyFont="1" applyBorder="1" applyAlignment="1">
      <alignment horizontal="center" vertical="center" wrapText="1"/>
    </xf>
    <xf numFmtId="0" fontId="261" fillId="0" borderId="41" xfId="0" applyFont="1" applyBorder="1" applyAlignment="1">
      <alignment horizontal="right" vertical="center" wrapText="1"/>
    </xf>
    <xf numFmtId="0" fontId="261" fillId="0" borderId="17" xfId="0" applyFont="1" applyBorder="1" applyAlignment="1">
      <alignment horizontal="right" vertical="center" wrapText="1"/>
    </xf>
    <xf numFmtId="0" fontId="264" fillId="0" borderId="15" xfId="0" applyFont="1" applyBorder="1" applyAlignment="1">
      <alignment horizontal="right" vertical="center"/>
    </xf>
    <xf numFmtId="0" fontId="115" fillId="0" borderId="27" xfId="0" applyFont="1" applyBorder="1" applyAlignment="1">
      <alignment horizontal="center" vertical="top"/>
    </xf>
    <xf numFmtId="0" fontId="115" fillId="0" borderId="24" xfId="0" applyFont="1" applyBorder="1" applyAlignment="1">
      <alignment horizontal="center" vertical="top"/>
    </xf>
    <xf numFmtId="0" fontId="115" fillId="0" borderId="22" xfId="0" applyFont="1" applyBorder="1" applyAlignment="1">
      <alignment horizontal="center" vertical="top"/>
    </xf>
    <xf numFmtId="0" fontId="215" fillId="9" borderId="124" xfId="0" applyFont="1" applyFill="1" applyBorder="1" applyAlignment="1">
      <alignment horizontal="center" vertical="center"/>
    </xf>
    <xf numFmtId="0" fontId="215" fillId="9" borderId="45" xfId="0" applyFont="1" applyFill="1" applyBorder="1" applyAlignment="1">
      <alignment horizontal="center" vertical="center"/>
    </xf>
    <xf numFmtId="0" fontId="215" fillId="9" borderId="168" xfId="0" applyFont="1" applyFill="1" applyBorder="1" applyAlignment="1">
      <alignment horizontal="center" vertical="center"/>
    </xf>
    <xf numFmtId="0" fontId="215" fillId="11" borderId="181" xfId="0" applyFont="1" applyFill="1" applyBorder="1" applyAlignment="1">
      <alignment horizontal="center"/>
    </xf>
    <xf numFmtId="0" fontId="215" fillId="11" borderId="0" xfId="0" applyFont="1" applyFill="1" applyAlignment="1">
      <alignment horizontal="center"/>
    </xf>
    <xf numFmtId="0" fontId="215" fillId="11" borderId="46" xfId="0" applyFont="1" applyFill="1" applyBorder="1" applyAlignment="1">
      <alignment horizontal="center"/>
    </xf>
    <xf numFmtId="0" fontId="260" fillId="19" borderId="124" xfId="0" applyFont="1" applyFill="1" applyBorder="1" applyAlignment="1">
      <alignment horizontal="center" vertical="center"/>
    </xf>
    <xf numFmtId="0" fontId="260" fillId="19" borderId="45" xfId="0" applyFont="1" applyFill="1" applyBorder="1" applyAlignment="1">
      <alignment horizontal="center" vertical="center"/>
    </xf>
    <xf numFmtId="0" fontId="260" fillId="19" borderId="92" xfId="0" applyFont="1" applyFill="1" applyBorder="1" applyAlignment="1">
      <alignment horizontal="center" vertical="center"/>
    </xf>
    <xf numFmtId="0" fontId="260" fillId="19" borderId="44" xfId="0" applyFont="1" applyFill="1" applyBorder="1" applyAlignment="1">
      <alignment horizontal="center" vertical="center"/>
    </xf>
    <xf numFmtId="0" fontId="260" fillId="19" borderId="24" xfId="0" applyFont="1" applyFill="1" applyBorder="1" applyAlignment="1">
      <alignment horizontal="center" vertical="center"/>
    </xf>
    <xf numFmtId="0" fontId="260" fillId="19" borderId="22" xfId="0" applyFont="1" applyFill="1" applyBorder="1" applyAlignment="1">
      <alignment horizontal="center" vertical="center"/>
    </xf>
    <xf numFmtId="0" fontId="282" fillId="17" borderId="85" xfId="0" applyFont="1" applyFill="1" applyBorder="1" applyAlignment="1">
      <alignment horizontal="center" vertical="center" wrapText="1"/>
    </xf>
    <xf numFmtId="0" fontId="282" fillId="17" borderId="56" xfId="0" applyFont="1" applyFill="1" applyBorder="1" applyAlignment="1">
      <alignment horizontal="center" vertical="center" wrapText="1"/>
    </xf>
    <xf numFmtId="0" fontId="301" fillId="0" borderId="0" xfId="0" applyFont="1" applyAlignment="1">
      <alignment horizontal="center"/>
    </xf>
    <xf numFmtId="0" fontId="225" fillId="11" borderId="0" xfId="0" applyFont="1" applyFill="1" applyAlignment="1">
      <alignment horizontal="left" vertical="center" wrapText="1"/>
    </xf>
    <xf numFmtId="0" fontId="225" fillId="11" borderId="28" xfId="0" applyFont="1" applyFill="1" applyBorder="1" applyAlignment="1">
      <alignment horizontal="left" vertical="center" wrapText="1"/>
    </xf>
    <xf numFmtId="0" fontId="172" fillId="11" borderId="48" xfId="0" applyFont="1" applyFill="1" applyBorder="1" applyAlignment="1">
      <alignment horizontal="center" vertical="center"/>
    </xf>
    <xf numFmtId="0" fontId="172" fillId="11" borderId="0" xfId="0" applyFont="1" applyFill="1" applyAlignment="1">
      <alignment horizontal="center" vertical="center"/>
    </xf>
    <xf numFmtId="0" fontId="172" fillId="11" borderId="28" xfId="0" applyFont="1" applyFill="1" applyBorder="1" applyAlignment="1">
      <alignment horizontal="center" vertical="center"/>
    </xf>
    <xf numFmtId="0" fontId="185" fillId="11" borderId="172" xfId="0" applyFont="1" applyFill="1" applyBorder="1" applyAlignment="1">
      <alignment horizontal="center" vertical="center"/>
    </xf>
    <xf numFmtId="0" fontId="185" fillId="11" borderId="24" xfId="0" applyFont="1" applyFill="1" applyBorder="1" applyAlignment="1">
      <alignment horizontal="center" vertical="center"/>
    </xf>
    <xf numFmtId="0" fontId="185" fillId="11" borderId="25" xfId="0" applyFont="1" applyFill="1" applyBorder="1" applyAlignment="1">
      <alignment horizontal="center" vertical="center"/>
    </xf>
    <xf numFmtId="0" fontId="115" fillId="11" borderId="48" xfId="0" applyFont="1" applyFill="1" applyBorder="1" applyAlignment="1">
      <alignment horizontal="center" vertical="top"/>
    </xf>
    <xf numFmtId="0" fontId="115" fillId="11" borderId="0" xfId="0" applyFont="1" applyFill="1" applyAlignment="1">
      <alignment horizontal="center" vertical="top"/>
    </xf>
    <xf numFmtId="0" fontId="115" fillId="11" borderId="28" xfId="0" applyFont="1" applyFill="1" applyBorder="1" applyAlignment="1">
      <alignment horizontal="center" vertical="top"/>
    </xf>
    <xf numFmtId="0" fontId="185" fillId="10" borderId="181" xfId="0" applyFont="1" applyFill="1" applyBorder="1" applyAlignment="1">
      <alignment horizontal="center"/>
    </xf>
    <xf numFmtId="0" fontId="185" fillId="10" borderId="0" xfId="0" applyFont="1" applyFill="1" applyAlignment="1">
      <alignment horizontal="center"/>
    </xf>
    <xf numFmtId="0" fontId="185" fillId="10" borderId="169" xfId="0" applyFont="1" applyFill="1" applyBorder="1" applyAlignment="1">
      <alignment horizontal="center"/>
    </xf>
    <xf numFmtId="0" fontId="321" fillId="22" borderId="0" xfId="0" applyFont="1" applyFill="1" applyAlignment="1">
      <alignment horizontal="center" vertical="center"/>
    </xf>
    <xf numFmtId="0" fontId="301" fillId="0" borderId="24" xfId="0" applyFont="1" applyBorder="1" applyAlignment="1">
      <alignment horizontal="center"/>
    </xf>
    <xf numFmtId="0" fontId="296" fillId="25" borderId="0" xfId="0" applyFont="1" applyFill="1" applyAlignment="1">
      <alignment horizontal="right" vertical="top"/>
    </xf>
    <xf numFmtId="0" fontId="261" fillId="19" borderId="45" xfId="0" applyFont="1" applyFill="1" applyBorder="1" applyAlignment="1">
      <alignment horizontal="center" vertical="center"/>
    </xf>
    <xf numFmtId="0" fontId="261" fillId="19" borderId="24" xfId="0" applyFont="1" applyFill="1" applyBorder="1" applyAlignment="1">
      <alignment horizontal="center" vertical="center"/>
    </xf>
    <xf numFmtId="0" fontId="261" fillId="19" borderId="124" xfId="0" applyFont="1" applyFill="1" applyBorder="1" applyAlignment="1">
      <alignment horizontal="center" vertical="center"/>
    </xf>
    <xf numFmtId="0" fontId="261" fillId="19" borderId="44" xfId="0" applyFont="1" applyFill="1" applyBorder="1" applyAlignment="1">
      <alignment horizontal="center" vertical="center"/>
    </xf>
    <xf numFmtId="0" fontId="259" fillId="0" borderId="0" xfId="0" applyFont="1" applyAlignment="1">
      <alignment horizontal="center"/>
    </xf>
    <xf numFmtId="0" fontId="282" fillId="17" borderId="92" xfId="0" applyFont="1" applyFill="1" applyBorder="1" applyAlignment="1">
      <alignment horizontal="center" vertical="center" wrapText="1"/>
    </xf>
    <xf numFmtId="0" fontId="282" fillId="17" borderId="22" xfId="0" applyFont="1" applyFill="1" applyBorder="1" applyAlignment="1">
      <alignment horizontal="center" vertical="center" wrapText="1"/>
    </xf>
    <xf numFmtId="0" fontId="169" fillId="0" borderId="124" xfId="0" applyFont="1" applyBorder="1" applyAlignment="1">
      <alignment horizontal="right" vertical="center" wrapText="1"/>
    </xf>
    <xf numFmtId="0" fontId="169" fillId="0" borderId="92" xfId="0" applyFont="1" applyBorder="1" applyAlignment="1">
      <alignment horizontal="right" vertical="center" wrapText="1"/>
    </xf>
    <xf numFmtId="0" fontId="169" fillId="0" borderId="51" xfId="0" applyFont="1" applyBorder="1" applyAlignment="1">
      <alignment horizontal="right" vertical="center" wrapText="1"/>
    </xf>
    <xf numFmtId="0" fontId="169" fillId="0" borderId="28" xfId="0" applyFont="1" applyBorder="1" applyAlignment="1">
      <alignment horizontal="right" vertical="center" wrapText="1"/>
    </xf>
    <xf numFmtId="0" fontId="169" fillId="0" borderId="44" xfId="0" applyFont="1" applyBorder="1" applyAlignment="1">
      <alignment horizontal="right" vertical="center" wrapText="1"/>
    </xf>
    <xf numFmtId="0" fontId="169" fillId="0" borderId="22" xfId="0" applyFont="1" applyBorder="1" applyAlignment="1">
      <alignment horizontal="right" vertical="center" wrapText="1"/>
    </xf>
    <xf numFmtId="0" fontId="115" fillId="11" borderId="27" xfId="0" applyFont="1" applyFill="1" applyBorder="1" applyAlignment="1">
      <alignment horizontal="center" vertical="top"/>
    </xf>
    <xf numFmtId="0" fontId="115" fillId="11" borderId="24" xfId="0" applyFont="1" applyFill="1" applyBorder="1" applyAlignment="1">
      <alignment horizontal="center" vertical="top"/>
    </xf>
    <xf numFmtId="0" fontId="115" fillId="11" borderId="22" xfId="0" applyFont="1" applyFill="1" applyBorder="1" applyAlignment="1">
      <alignment horizontal="center" vertical="top"/>
    </xf>
    <xf numFmtId="0" fontId="225" fillId="11" borderId="129" xfId="0" applyFont="1" applyFill="1" applyBorder="1" applyAlignment="1">
      <alignment horizontal="left" vertical="center" wrapText="1"/>
    </xf>
    <xf numFmtId="0" fontId="225" fillId="11" borderId="45" xfId="0" applyFont="1" applyFill="1" applyBorder="1" applyAlignment="1">
      <alignment horizontal="left" vertical="center" wrapText="1"/>
    </xf>
    <xf numFmtId="0" fontId="225" fillId="11" borderId="92" xfId="0" applyFont="1" applyFill="1" applyBorder="1" applyAlignment="1">
      <alignment horizontal="left" vertical="center" wrapText="1"/>
    </xf>
    <xf numFmtId="0" fontId="225" fillId="11" borderId="48" xfId="0" applyFont="1" applyFill="1" applyBorder="1" applyAlignment="1">
      <alignment horizontal="left" vertical="center" wrapText="1"/>
    </xf>
    <xf numFmtId="0" fontId="185" fillId="11" borderId="0" xfId="0" applyFont="1" applyFill="1" applyAlignment="1">
      <alignment horizontal="center" vertical="top"/>
    </xf>
    <xf numFmtId="0" fontId="185" fillId="11" borderId="28" xfId="0" applyFont="1" applyFill="1" applyBorder="1" applyAlignment="1">
      <alignment horizontal="center" vertical="top"/>
    </xf>
    <xf numFmtId="0" fontId="185" fillId="11" borderId="48" xfId="0" applyFont="1" applyFill="1" applyBorder="1" applyAlignment="1">
      <alignment horizontal="center" vertical="center"/>
    </xf>
    <xf numFmtId="0" fontId="185" fillId="11" borderId="28" xfId="0" applyFont="1" applyFill="1" applyBorder="1" applyAlignment="1">
      <alignment horizontal="center" vertical="center"/>
    </xf>
    <xf numFmtId="0" fontId="115" fillId="11" borderId="181" xfId="0" applyFont="1" applyFill="1" applyBorder="1" applyAlignment="1">
      <alignment horizontal="center" vertical="center"/>
    </xf>
    <xf numFmtId="0" fontId="115" fillId="11" borderId="0" xfId="0" applyFont="1" applyFill="1" applyAlignment="1">
      <alignment horizontal="center" vertical="center"/>
    </xf>
    <xf numFmtId="0" fontId="115" fillId="11" borderId="46" xfId="0" applyFont="1" applyFill="1" applyBorder="1" applyAlignment="1">
      <alignment horizontal="center" vertical="center"/>
    </xf>
    <xf numFmtId="0" fontId="185" fillId="11" borderId="0" xfId="0" applyFont="1" applyFill="1" applyAlignment="1">
      <alignment horizontal="center"/>
    </xf>
    <xf numFmtId="0" fontId="185" fillId="11" borderId="28" xfId="0" applyFont="1" applyFill="1" applyBorder="1" applyAlignment="1">
      <alignment horizontal="center"/>
    </xf>
    <xf numFmtId="0" fontId="185" fillId="0" borderId="181" xfId="0" applyFont="1" applyBorder="1" applyAlignment="1">
      <alignment horizontal="left" vertical="center" indent="2"/>
    </xf>
    <xf numFmtId="0" fontId="185" fillId="0" borderId="0" xfId="0" applyFont="1" applyAlignment="1">
      <alignment horizontal="left" vertical="center" indent="2"/>
    </xf>
    <xf numFmtId="0" fontId="185" fillId="0" borderId="169" xfId="0" applyFont="1" applyBorder="1" applyAlignment="1">
      <alignment horizontal="left" vertical="center" indent="2"/>
    </xf>
    <xf numFmtId="0" fontId="241" fillId="11" borderId="181" xfId="0" applyFont="1" applyFill="1" applyBorder="1" applyAlignment="1">
      <alignment horizontal="left" vertical="top" wrapText="1"/>
    </xf>
    <xf numFmtId="0" fontId="241" fillId="11" borderId="0" xfId="0" applyFont="1" applyFill="1" applyAlignment="1">
      <alignment horizontal="left" vertical="top" wrapText="1"/>
    </xf>
    <xf numFmtId="0" fontId="241" fillId="11" borderId="46" xfId="0" applyFont="1" applyFill="1" applyBorder="1" applyAlignment="1">
      <alignment horizontal="left" vertical="top" wrapText="1"/>
    </xf>
    <xf numFmtId="0" fontId="241" fillId="11" borderId="172" xfId="0" applyFont="1" applyFill="1" applyBorder="1" applyAlignment="1">
      <alignment horizontal="left" vertical="top" wrapText="1"/>
    </xf>
    <xf numFmtId="0" fontId="241" fillId="11" borderId="24" xfId="0" applyFont="1" applyFill="1" applyBorder="1" applyAlignment="1">
      <alignment horizontal="left" vertical="top" wrapText="1"/>
    </xf>
    <xf numFmtId="0" fontId="241" fillId="11" borderId="25" xfId="0" applyFont="1" applyFill="1" applyBorder="1" applyAlignment="1">
      <alignment horizontal="left" vertical="top" wrapText="1"/>
    </xf>
    <xf numFmtId="0" fontId="215" fillId="11" borderId="181" xfId="0" applyFont="1" applyFill="1" applyBorder="1" applyAlignment="1">
      <alignment horizontal="left" indent="1"/>
    </xf>
    <xf numFmtId="0" fontId="215" fillId="11" borderId="0" xfId="0" applyFont="1" applyFill="1" applyAlignment="1">
      <alignment horizontal="left" indent="1"/>
    </xf>
    <xf numFmtId="0" fontId="215" fillId="11" borderId="46" xfId="0" applyFont="1" applyFill="1" applyBorder="1" applyAlignment="1">
      <alignment horizontal="left" indent="1"/>
    </xf>
    <xf numFmtId="0" fontId="215" fillId="9" borderId="51" xfId="0" applyFont="1" applyFill="1" applyBorder="1" applyAlignment="1">
      <alignment horizontal="left" vertical="center" indent="1"/>
    </xf>
    <xf numFmtId="0" fontId="215" fillId="9" borderId="0" xfId="0" applyFont="1" applyFill="1" applyAlignment="1">
      <alignment horizontal="left" vertical="center" indent="1"/>
    </xf>
    <xf numFmtId="0" fontId="215" fillId="9" borderId="169" xfId="0" applyFont="1" applyFill="1" applyBorder="1" applyAlignment="1">
      <alignment horizontal="left" vertical="center" indent="1"/>
    </xf>
    <xf numFmtId="0" fontId="429" fillId="11" borderId="181" xfId="0" applyFont="1" applyFill="1" applyBorder="1" applyAlignment="1">
      <alignment horizontal="center" vertical="center"/>
    </xf>
    <xf numFmtId="0" fontId="429" fillId="11" borderId="0" xfId="0" applyFont="1" applyFill="1" applyAlignment="1">
      <alignment horizontal="center" vertical="center"/>
    </xf>
    <xf numFmtId="0" fontId="429" fillId="11" borderId="46" xfId="0" applyFont="1" applyFill="1" applyBorder="1" applyAlignment="1">
      <alignment horizontal="center" vertical="center"/>
    </xf>
    <xf numFmtId="0" fontId="215" fillId="11" borderId="181" xfId="0" applyFont="1" applyFill="1" applyBorder="1" applyAlignment="1">
      <alignment horizontal="left" vertical="top" wrapText="1" indent="1"/>
    </xf>
    <xf numFmtId="0" fontId="215" fillId="11" borderId="0" xfId="0" applyFont="1" applyFill="1" applyAlignment="1">
      <alignment horizontal="left" vertical="top" wrapText="1" indent="1"/>
    </xf>
    <xf numFmtId="0" fontId="215" fillId="11" borderId="46" xfId="0" applyFont="1" applyFill="1" applyBorder="1" applyAlignment="1">
      <alignment horizontal="left" vertical="top" wrapText="1" indent="1"/>
    </xf>
    <xf numFmtId="0" fontId="169" fillId="0" borderId="124" xfId="0" applyFont="1" applyBorder="1" applyAlignment="1">
      <alignment horizontal="right" vertical="center"/>
    </xf>
    <xf numFmtId="0" fontId="169" fillId="0" borderId="92" xfId="0" applyFont="1" applyBorder="1" applyAlignment="1">
      <alignment horizontal="right" vertical="center"/>
    </xf>
    <xf numFmtId="0" fontId="169" fillId="0" borderId="51" xfId="0" applyFont="1" applyBorder="1" applyAlignment="1">
      <alignment horizontal="right" vertical="center"/>
    </xf>
    <xf numFmtId="0" fontId="169" fillId="0" borderId="28" xfId="0" applyFont="1" applyBorder="1" applyAlignment="1">
      <alignment horizontal="right" vertical="center"/>
    </xf>
    <xf numFmtId="0" fontId="169" fillId="0" borderId="44" xfId="0" applyFont="1" applyBorder="1" applyAlignment="1">
      <alignment horizontal="right" vertical="center"/>
    </xf>
    <xf numFmtId="0" fontId="169" fillId="0" borderId="22" xfId="0" applyFont="1" applyBorder="1" applyAlignment="1">
      <alignment horizontal="right" vertical="center"/>
    </xf>
    <xf numFmtId="0" fontId="395" fillId="36" borderId="51" xfId="0" applyFont="1" applyFill="1" applyBorder="1" applyAlignment="1">
      <alignment horizontal="center" wrapText="1"/>
    </xf>
    <xf numFmtId="0" fontId="395" fillId="36" borderId="0" xfId="0" applyFont="1" applyFill="1" applyAlignment="1">
      <alignment horizontal="center" wrapText="1"/>
    </xf>
    <xf numFmtId="0" fontId="395" fillId="36" borderId="28" xfId="0" applyFont="1" applyFill="1" applyBorder="1" applyAlignment="1">
      <alignment horizontal="center" wrapText="1"/>
    </xf>
    <xf numFmtId="0" fontId="372" fillId="8" borderId="181" xfId="0" applyFont="1" applyFill="1" applyBorder="1" applyAlignment="1">
      <alignment horizontal="center"/>
    </xf>
    <xf numFmtId="0" fontId="372" fillId="8" borderId="0" xfId="0" applyFont="1" applyFill="1" applyAlignment="1">
      <alignment horizontal="center"/>
    </xf>
    <xf numFmtId="0" fontId="372" fillId="8" borderId="135" xfId="0" applyFont="1" applyFill="1" applyBorder="1" applyAlignment="1">
      <alignment horizontal="center"/>
    </xf>
    <xf numFmtId="0" fontId="118" fillId="8" borderId="0" xfId="0" applyFont="1" applyFill="1" applyAlignment="1">
      <alignment horizontal="center" vertical="center" wrapText="1"/>
    </xf>
    <xf numFmtId="0" fontId="118" fillId="8" borderId="28" xfId="0" applyFont="1" applyFill="1" applyBorder="1" applyAlignment="1">
      <alignment horizontal="center" vertical="center" wrapText="1"/>
    </xf>
    <xf numFmtId="0" fontId="158" fillId="18" borderId="28" xfId="0" applyFont="1" applyFill="1" applyBorder="1" applyAlignment="1">
      <alignment horizontal="left" vertical="center" wrapText="1"/>
    </xf>
    <xf numFmtId="0" fontId="116" fillId="0" borderId="135" xfId="0" applyFont="1" applyBorder="1" applyAlignment="1">
      <alignment horizontal="left" vertical="center" wrapText="1"/>
    </xf>
    <xf numFmtId="0" fontId="116" fillId="0" borderId="25" xfId="0" applyFont="1" applyBorder="1" applyAlignment="1">
      <alignment horizontal="left" vertical="center" wrapText="1"/>
    </xf>
    <xf numFmtId="0" fontId="117" fillId="0" borderId="129" xfId="0" applyFont="1" applyBorder="1" applyAlignment="1">
      <alignment horizontal="right" vertical="center" wrapText="1"/>
    </xf>
    <xf numFmtId="0" fontId="117" fillId="0" borderId="48" xfId="0" applyFont="1" applyBorder="1" applyAlignment="1">
      <alignment horizontal="right" vertical="center" wrapText="1"/>
    </xf>
    <xf numFmtId="0" fontId="386" fillId="0" borderId="135" xfId="0" applyFont="1" applyBorder="1" applyAlignment="1">
      <alignment vertical="center" wrapText="1"/>
    </xf>
    <xf numFmtId="0" fontId="386" fillId="0" borderId="46" xfId="0" applyFont="1" applyBorder="1" applyAlignment="1">
      <alignment vertical="center" wrapText="1"/>
    </xf>
    <xf numFmtId="0" fontId="16" fillId="0" borderId="178" xfId="0" applyFont="1" applyBorder="1" applyAlignment="1">
      <alignment horizontal="right" vertical="center"/>
    </xf>
    <xf numFmtId="0" fontId="16" fillId="0" borderId="205" xfId="0" applyFont="1" applyBorder="1" applyAlignment="1">
      <alignment horizontal="right" vertical="center"/>
    </xf>
    <xf numFmtId="0" fontId="167" fillId="9" borderId="14" xfId="0" applyFont="1" applyFill="1" applyBorder="1" applyAlignment="1">
      <alignment horizontal="center" vertical="center"/>
    </xf>
    <xf numFmtId="0" fontId="167" fillId="9" borderId="167" xfId="0" applyFont="1" applyFill="1" applyBorder="1" applyAlignment="1">
      <alignment horizontal="center" vertical="center"/>
    </xf>
    <xf numFmtId="0" fontId="371" fillId="9" borderId="21" xfId="0" applyFont="1" applyFill="1" applyBorder="1" applyAlignment="1">
      <alignment horizontal="center" vertical="center"/>
    </xf>
    <xf numFmtId="0" fontId="371" fillId="9" borderId="179" xfId="0" applyFont="1" applyFill="1" applyBorder="1" applyAlignment="1">
      <alignment horizontal="center" vertical="center"/>
    </xf>
    <xf numFmtId="0" fontId="404" fillId="0" borderId="0" xfId="0" applyFont="1" applyAlignment="1">
      <alignment horizontal="left" vertical="top" wrapText="1" indent="1"/>
    </xf>
    <xf numFmtId="0" fontId="404" fillId="0" borderId="28" xfId="0" applyFont="1" applyBorder="1" applyAlignment="1">
      <alignment horizontal="left" vertical="top" wrapText="1" indent="1"/>
    </xf>
    <xf numFmtId="0" fontId="364" fillId="0" borderId="27" xfId="0" applyFont="1" applyBorder="1" applyAlignment="1">
      <alignment horizontal="center" vertical="center"/>
    </xf>
    <xf numFmtId="0" fontId="364" fillId="0" borderId="25" xfId="0" applyFont="1" applyBorder="1" applyAlignment="1">
      <alignment horizontal="center" vertical="center"/>
    </xf>
    <xf numFmtId="49" fontId="385" fillId="0" borderId="9" xfId="0" applyNumberFormat="1" applyFont="1" applyBorder="1" applyAlignment="1">
      <alignment horizontal="center" vertical="center"/>
    </xf>
    <xf numFmtId="49" fontId="385" fillId="0" borderId="177" xfId="0" applyNumberFormat="1" applyFont="1" applyBorder="1" applyAlignment="1">
      <alignment horizontal="center" vertical="center"/>
    </xf>
    <xf numFmtId="0" fontId="2" fillId="27" borderId="128" xfId="0" applyFont="1" applyFill="1" applyBorder="1" applyAlignment="1" applyProtection="1">
      <alignment horizontal="center" vertical="center"/>
      <protection locked="0"/>
    </xf>
    <xf numFmtId="0" fontId="2" fillId="27" borderId="47" xfId="0" applyFont="1" applyFill="1" applyBorder="1" applyAlignment="1" applyProtection="1">
      <alignment horizontal="center" vertical="center"/>
      <protection locked="0"/>
    </xf>
    <xf numFmtId="0" fontId="79" fillId="0" borderId="109" xfId="0" applyFont="1" applyBorder="1" applyAlignment="1">
      <alignment horizontal="center" vertical="center"/>
    </xf>
    <xf numFmtId="0" fontId="79" fillId="0" borderId="207" xfId="0" applyFont="1" applyBorder="1" applyAlignment="1">
      <alignment horizontal="center" vertical="center"/>
    </xf>
    <xf numFmtId="0" fontId="362" fillId="0" borderId="238" xfId="0" applyFont="1" applyBorder="1" applyAlignment="1">
      <alignment horizontal="center" vertical="top" textRotation="90"/>
    </xf>
    <xf numFmtId="0" fontId="362" fillId="0" borderId="51" xfId="0" applyFont="1" applyBorder="1" applyAlignment="1">
      <alignment horizontal="center" vertical="top" textRotation="90"/>
    </xf>
    <xf numFmtId="0" fontId="88" fillId="25" borderId="128" xfId="0" applyFont="1" applyFill="1" applyBorder="1" applyAlignment="1" applyProtection="1">
      <alignment horizontal="center" vertical="center" wrapText="1"/>
      <protection locked="0"/>
    </xf>
    <xf numFmtId="0" fontId="88" fillId="25" borderId="26" xfId="0" applyFont="1" applyFill="1" applyBorder="1" applyAlignment="1" applyProtection="1">
      <alignment horizontal="center" vertical="center" wrapText="1"/>
      <protection locked="0"/>
    </xf>
    <xf numFmtId="0" fontId="75" fillId="0" borderId="0" xfId="0" applyFont="1" applyAlignment="1">
      <alignment horizontal="center" vertical="center"/>
    </xf>
    <xf numFmtId="0" fontId="211" fillId="25" borderId="16" xfId="0" applyFont="1" applyFill="1" applyBorder="1" applyAlignment="1" applyProtection="1">
      <alignment horizontal="left"/>
      <protection locked="0"/>
    </xf>
    <xf numFmtId="0" fontId="211" fillId="25" borderId="18" xfId="0" applyFont="1" applyFill="1" applyBorder="1" applyAlignment="1" applyProtection="1">
      <alignment horizontal="left"/>
      <protection locked="0"/>
    </xf>
    <xf numFmtId="0" fontId="171" fillId="0" borderId="5" xfId="0" applyFont="1" applyBorder="1" applyAlignment="1">
      <alignment horizontal="right"/>
    </xf>
    <xf numFmtId="0" fontId="171" fillId="0" borderId="12" xfId="0" applyFont="1" applyBorder="1" applyAlignment="1">
      <alignment horizontal="right"/>
    </xf>
    <xf numFmtId="0" fontId="3" fillId="0" borderId="0" xfId="0" applyFont="1" applyAlignment="1">
      <alignment horizontal="left" wrapText="1"/>
    </xf>
    <xf numFmtId="0" fontId="360" fillId="11" borderId="48" xfId="0" applyFont="1" applyFill="1" applyBorder="1" applyAlignment="1">
      <alignment vertical="center" wrapText="1"/>
    </xf>
    <xf numFmtId="0" fontId="360" fillId="11" borderId="0" xfId="0" applyFont="1" applyFill="1" applyAlignment="1">
      <alignment vertical="center" wrapText="1"/>
    </xf>
    <xf numFmtId="0" fontId="360" fillId="11" borderId="28" xfId="0" applyFont="1" applyFill="1" applyBorder="1" applyAlignment="1">
      <alignment vertical="center" wrapText="1"/>
    </xf>
    <xf numFmtId="0" fontId="367" fillId="12" borderId="5" xfId="0" applyFont="1" applyFill="1" applyBorder="1" applyAlignment="1">
      <alignment horizontal="left" vertical="center"/>
    </xf>
    <xf numFmtId="0" fontId="367" fillId="12" borderId="13" xfId="0" applyFont="1" applyFill="1" applyBorder="1" applyAlignment="1">
      <alignment horizontal="left" vertical="center"/>
    </xf>
    <xf numFmtId="0" fontId="88" fillId="0" borderId="129" xfId="0" applyFont="1" applyBorder="1" applyAlignment="1">
      <alignment horizontal="center" vertical="center"/>
    </xf>
    <xf numFmtId="0" fontId="88" fillId="0" borderId="45" xfId="0" applyFont="1" applyBorder="1" applyAlignment="1">
      <alignment horizontal="center" vertical="center"/>
    </xf>
    <xf numFmtId="0" fontId="88" fillId="0" borderId="168" xfId="0" applyFont="1" applyBorder="1" applyAlignment="1">
      <alignment horizontal="center" vertical="center"/>
    </xf>
    <xf numFmtId="0" fontId="88" fillId="0" borderId="27" xfId="0" applyFont="1" applyBorder="1" applyAlignment="1">
      <alignment horizontal="center" vertical="center"/>
    </xf>
    <xf numFmtId="0" fontId="88" fillId="0" borderId="24" xfId="0" applyFont="1" applyBorder="1" applyAlignment="1">
      <alignment horizontal="center" vertical="center"/>
    </xf>
    <xf numFmtId="0" fontId="88" fillId="0" borderId="166" xfId="0" applyFont="1" applyBorder="1" applyAlignment="1">
      <alignment horizontal="center" vertical="center"/>
    </xf>
    <xf numFmtId="0" fontId="224" fillId="0" borderId="181" xfId="0" applyFont="1" applyBorder="1" applyAlignment="1">
      <alignment horizontal="left" vertical="center" wrapText="1"/>
    </xf>
    <xf numFmtId="0" fontId="224" fillId="0" borderId="0" xfId="0" applyFont="1" applyAlignment="1">
      <alignment horizontal="left" vertical="center" wrapText="1"/>
    </xf>
    <xf numFmtId="0" fontId="224" fillId="0" borderId="169" xfId="0" applyFont="1" applyBorder="1" applyAlignment="1">
      <alignment horizontal="left" vertical="center" wrapText="1"/>
    </xf>
    <xf numFmtId="0" fontId="224" fillId="0" borderId="172" xfId="0" applyFont="1" applyBorder="1" applyAlignment="1">
      <alignment horizontal="left" vertical="center" wrapText="1"/>
    </xf>
    <xf numFmtId="0" fontId="224" fillId="0" borderId="24" xfId="0" applyFont="1" applyBorder="1" applyAlignment="1">
      <alignment horizontal="left" vertical="center" wrapText="1"/>
    </xf>
    <xf numFmtId="0" fontId="224" fillId="0" borderId="166" xfId="0" applyFont="1" applyBorder="1" applyAlignment="1">
      <alignment horizontal="left" vertical="center" wrapText="1"/>
    </xf>
    <xf numFmtId="0" fontId="9" fillId="0" borderId="129" xfId="0" applyFont="1" applyBorder="1" applyAlignment="1">
      <alignment horizontal="left" vertical="center"/>
    </xf>
    <xf numFmtId="0" fontId="9" fillId="0" borderId="45" xfId="0" applyFont="1" applyBorder="1" applyAlignment="1">
      <alignment horizontal="left" vertical="center"/>
    </xf>
    <xf numFmtId="0" fontId="9" fillId="0" borderId="14" xfId="0" applyFont="1" applyBorder="1" applyAlignment="1">
      <alignment horizontal="left" vertical="center"/>
    </xf>
    <xf numFmtId="0" fontId="9" fillId="0" borderId="16" xfId="0" applyFont="1" applyBorder="1" applyAlignment="1">
      <alignment horizontal="left" vertical="center"/>
    </xf>
    <xf numFmtId="0" fontId="158" fillId="23" borderId="140" xfId="0" applyFont="1" applyFill="1" applyBorder="1" applyAlignment="1">
      <alignment horizontal="left" vertical="center" wrapText="1"/>
    </xf>
    <xf numFmtId="0" fontId="215" fillId="9" borderId="124" xfId="0" applyFont="1" applyFill="1" applyBorder="1" applyAlignment="1">
      <alignment horizontal="center"/>
    </xf>
    <xf numFmtId="0" fontId="215" fillId="9" borderId="45" xfId="0" applyFont="1" applyFill="1" applyBorder="1" applyAlignment="1">
      <alignment horizontal="center"/>
    </xf>
    <xf numFmtId="0" fontId="215" fillId="9" borderId="168" xfId="0" applyFont="1" applyFill="1" applyBorder="1" applyAlignment="1">
      <alignment horizontal="center"/>
    </xf>
    <xf numFmtId="0" fontId="19" fillId="6" borderId="123" xfId="0" applyFont="1" applyFill="1" applyBorder="1" applyAlignment="1">
      <alignment horizontal="center" vertical="center"/>
    </xf>
    <xf numFmtId="0" fontId="2" fillId="25" borderId="2" xfId="0" applyFont="1" applyFill="1" applyBorder="1" applyAlignment="1" applyProtection="1">
      <alignment horizontal="center" vertical="center"/>
      <protection locked="0"/>
    </xf>
    <xf numFmtId="0" fontId="169" fillId="0" borderId="231" xfId="0" applyFont="1" applyBorder="1" applyAlignment="1">
      <alignment horizontal="right" vertical="center"/>
    </xf>
    <xf numFmtId="0" fontId="169" fillId="0" borderId="165" xfId="0" applyFont="1" applyBorder="1" applyAlignment="1">
      <alignment horizontal="right" vertical="center"/>
    </xf>
    <xf numFmtId="0" fontId="169" fillId="0" borderId="59" xfId="0" applyFont="1" applyBorder="1" applyAlignment="1">
      <alignment horizontal="right" vertical="center"/>
    </xf>
    <xf numFmtId="0" fontId="169" fillId="0" borderId="24" xfId="0" applyFont="1" applyBorder="1" applyAlignment="1">
      <alignment horizontal="right" vertical="center"/>
    </xf>
    <xf numFmtId="0" fontId="2" fillId="25" borderId="131" xfId="0" applyFont="1" applyFill="1" applyBorder="1" applyAlignment="1" applyProtection="1">
      <alignment horizontal="center" vertical="center"/>
      <protection locked="0"/>
    </xf>
    <xf numFmtId="0" fontId="423" fillId="25" borderId="137" xfId="0" applyFont="1" applyFill="1" applyBorder="1" applyAlignment="1" applyProtection="1">
      <alignment horizontal="center" vertical="center"/>
      <protection locked="0"/>
    </xf>
    <xf numFmtId="0" fontId="423" fillId="25" borderId="26" xfId="0" applyFont="1" applyFill="1" applyBorder="1" applyAlignment="1" applyProtection="1">
      <alignment horizontal="center" vertical="center"/>
      <protection locked="0"/>
    </xf>
    <xf numFmtId="0" fontId="2" fillId="0" borderId="124" xfId="0" applyFont="1" applyBorder="1" applyAlignment="1">
      <alignment horizontal="left" vertical="center" wrapText="1"/>
    </xf>
    <xf numFmtId="0" fontId="2" fillId="0" borderId="135" xfId="0" applyFont="1" applyBorder="1" applyAlignment="1">
      <alignment horizontal="left" vertical="center" wrapText="1"/>
    </xf>
    <xf numFmtId="0" fontId="2" fillId="0" borderId="51" xfId="0" applyFont="1" applyBorder="1" applyAlignment="1">
      <alignment horizontal="left" vertical="center" wrapText="1"/>
    </xf>
    <xf numFmtId="0" fontId="2" fillId="0" borderId="46" xfId="0" applyFont="1" applyBorder="1" applyAlignment="1">
      <alignment horizontal="left" vertical="center" wrapText="1"/>
    </xf>
    <xf numFmtId="0" fontId="253" fillId="8" borderId="48" xfId="0" applyFont="1" applyFill="1" applyBorder="1" applyAlignment="1">
      <alignment horizontal="center" vertical="center"/>
    </xf>
    <xf numFmtId="0" fontId="253" fillId="8" borderId="0" xfId="0" applyFont="1" applyFill="1" applyAlignment="1">
      <alignment horizontal="center" vertical="center"/>
    </xf>
    <xf numFmtId="0" fontId="253" fillId="8" borderId="28" xfId="0" applyFont="1" applyFill="1" applyBorder="1" applyAlignment="1">
      <alignment horizontal="center" vertical="center"/>
    </xf>
    <xf numFmtId="0" fontId="372" fillId="6" borderId="181" xfId="0" applyFont="1" applyFill="1" applyBorder="1" applyAlignment="1">
      <alignment horizontal="center" vertical="center" wrapText="1"/>
    </xf>
    <xf numFmtId="0" fontId="372" fillId="6" borderId="0" xfId="0" applyFont="1" applyFill="1" applyAlignment="1">
      <alignment horizontal="center" vertical="center" wrapText="1"/>
    </xf>
    <xf numFmtId="0" fontId="372" fillId="6" borderId="168" xfId="0" applyFont="1" applyFill="1" applyBorder="1" applyAlignment="1">
      <alignment horizontal="center" vertical="center" wrapText="1"/>
    </xf>
    <xf numFmtId="0" fontId="2" fillId="0" borderId="45" xfId="0" applyFont="1" applyBorder="1" applyAlignment="1">
      <alignment horizontal="right" vertical="center" wrapText="1" indent="1"/>
    </xf>
    <xf numFmtId="0" fontId="2" fillId="0" borderId="92" xfId="0" applyFont="1" applyBorder="1" applyAlignment="1">
      <alignment horizontal="right" vertical="center" wrapText="1" indent="1"/>
    </xf>
    <xf numFmtId="0" fontId="2" fillId="0" borderId="0" xfId="0" applyFont="1" applyAlignment="1">
      <alignment horizontal="right" vertical="center" wrapText="1" indent="1"/>
    </xf>
    <xf numFmtId="0" fontId="2" fillId="0" borderId="28" xfId="0" applyFont="1" applyBorder="1" applyAlignment="1">
      <alignment horizontal="right" vertical="center" wrapText="1" indent="1"/>
    </xf>
    <xf numFmtId="0" fontId="185" fillId="11" borderId="170" xfId="0" applyFont="1" applyFill="1" applyBorder="1" applyAlignment="1">
      <alignment horizontal="center"/>
    </xf>
    <xf numFmtId="0" fontId="185" fillId="11" borderId="135" xfId="0" applyFont="1" applyFill="1" applyBorder="1" applyAlignment="1">
      <alignment horizontal="center"/>
    </xf>
    <xf numFmtId="0" fontId="13" fillId="0" borderId="51" xfId="0" applyFont="1" applyBorder="1" applyAlignment="1">
      <alignment horizontal="center" vertical="top" wrapText="1"/>
    </xf>
    <xf numFmtId="0" fontId="13" fillId="0" borderId="28" xfId="0" applyFont="1" applyBorder="1" applyAlignment="1">
      <alignment horizontal="center" vertical="top" wrapText="1"/>
    </xf>
    <xf numFmtId="0" fontId="13" fillId="0" borderId="44" xfId="0" applyFont="1" applyBorder="1" applyAlignment="1">
      <alignment horizontal="center" vertical="top" wrapText="1"/>
    </xf>
    <xf numFmtId="0" fontId="13" fillId="0" borderId="22" xfId="0" applyFont="1" applyBorder="1" applyAlignment="1">
      <alignment horizontal="center" vertical="top" wrapText="1"/>
    </xf>
    <xf numFmtId="0" fontId="372" fillId="17" borderId="51" xfId="0" applyFont="1" applyFill="1" applyBorder="1" applyAlignment="1">
      <alignment horizontal="center" vertical="center"/>
    </xf>
    <xf numFmtId="0" fontId="372" fillId="17" borderId="0" xfId="0" applyFont="1" applyFill="1" applyAlignment="1">
      <alignment horizontal="center" vertical="center"/>
    </xf>
    <xf numFmtId="0" fontId="372" fillId="17" borderId="169" xfId="0" applyFont="1" applyFill="1" applyBorder="1" applyAlignment="1">
      <alignment horizontal="center" vertical="center"/>
    </xf>
    <xf numFmtId="0" fontId="9" fillId="17" borderId="51" xfId="0" applyFont="1" applyFill="1" applyBorder="1" applyAlignment="1">
      <alignment horizontal="center"/>
    </xf>
    <xf numFmtId="0" fontId="9" fillId="17" borderId="0" xfId="0" applyFont="1" applyFill="1" applyAlignment="1">
      <alignment horizontal="center"/>
    </xf>
    <xf numFmtId="0" fontId="9" fillId="17" borderId="169" xfId="0" applyFont="1" applyFill="1" applyBorder="1" applyAlignment="1">
      <alignment horizontal="center"/>
    </xf>
    <xf numFmtId="0" fontId="2" fillId="17" borderId="51" xfId="0" applyFont="1" applyFill="1" applyBorder="1" applyAlignment="1">
      <alignment horizontal="center" vertical="center"/>
    </xf>
    <xf numFmtId="0" fontId="2" fillId="17" borderId="0" xfId="0" applyFont="1" applyFill="1" applyAlignment="1">
      <alignment horizontal="center" vertical="center"/>
    </xf>
    <xf numFmtId="0" fontId="2" fillId="17" borderId="169" xfId="0" applyFont="1" applyFill="1" applyBorder="1" applyAlignment="1">
      <alignment horizontal="center" vertical="center"/>
    </xf>
    <xf numFmtId="0" fontId="215" fillId="9" borderId="51" xfId="0" applyFont="1" applyFill="1" applyBorder="1" applyAlignment="1">
      <alignment horizontal="center"/>
    </xf>
    <xf numFmtId="0" fontId="215" fillId="9" borderId="0" xfId="0" applyFont="1" applyFill="1" applyAlignment="1">
      <alignment horizontal="center"/>
    </xf>
    <xf numFmtId="0" fontId="215" fillId="9" borderId="169" xfId="0" applyFont="1" applyFill="1" applyBorder="1" applyAlignment="1">
      <alignment horizontal="center"/>
    </xf>
    <xf numFmtId="0" fontId="185" fillId="0" borderId="181" xfId="0" applyFont="1" applyBorder="1" applyAlignment="1">
      <alignment horizontal="center"/>
    </xf>
    <xf numFmtId="0" fontId="185" fillId="0" borderId="0" xfId="0" applyFont="1" applyAlignment="1">
      <alignment horizontal="center"/>
    </xf>
    <xf numFmtId="0" fontId="185" fillId="0" borderId="169" xfId="0" applyFont="1" applyBorder="1" applyAlignment="1">
      <alignment horizontal="center"/>
    </xf>
    <xf numFmtId="0" fontId="13" fillId="19" borderId="124" xfId="0" applyFont="1" applyFill="1" applyBorder="1" applyAlignment="1">
      <alignment horizontal="center" vertical="center"/>
    </xf>
    <xf numFmtId="0" fontId="13" fillId="19" borderId="45" xfId="0" applyFont="1" applyFill="1" applyBorder="1" applyAlignment="1">
      <alignment horizontal="center" vertical="center"/>
    </xf>
    <xf numFmtId="0" fontId="13" fillId="19" borderId="43" xfId="0" applyFont="1" applyFill="1" applyBorder="1" applyAlignment="1">
      <alignment horizontal="center" vertical="center"/>
    </xf>
    <xf numFmtId="0" fontId="13" fillId="19" borderId="16" xfId="0" applyFont="1" applyFill="1" applyBorder="1" applyAlignment="1">
      <alignment horizontal="center" vertical="center"/>
    </xf>
    <xf numFmtId="0" fontId="13" fillId="6" borderId="95" xfId="0" applyFont="1" applyFill="1" applyBorder="1" applyAlignment="1">
      <alignment horizontal="center" vertical="center"/>
    </xf>
    <xf numFmtId="0" fontId="13" fillId="6" borderId="116" xfId="0" applyFont="1" applyFill="1" applyBorder="1" applyAlignment="1">
      <alignment horizontal="center" vertical="center"/>
    </xf>
    <xf numFmtId="0" fontId="13" fillId="6" borderId="51" xfId="0" applyFont="1" applyFill="1" applyBorder="1" applyAlignment="1">
      <alignment horizontal="center" vertical="center"/>
    </xf>
    <xf numFmtId="0" fontId="13" fillId="6" borderId="46" xfId="0" applyFont="1" applyFill="1" applyBorder="1" applyAlignment="1">
      <alignment horizontal="center" vertical="center"/>
    </xf>
    <xf numFmtId="0" fontId="13" fillId="6" borderId="43" xfId="0" applyFont="1" applyFill="1" applyBorder="1" applyAlignment="1">
      <alignment horizontal="center" vertical="center"/>
    </xf>
    <xf numFmtId="0" fontId="13" fillId="6" borderId="6" xfId="0" applyFont="1" applyFill="1" applyBorder="1" applyAlignment="1">
      <alignment horizontal="center" vertical="center"/>
    </xf>
    <xf numFmtId="0" fontId="35" fillId="6" borderId="181" xfId="0" applyFont="1" applyFill="1" applyBorder="1" applyAlignment="1">
      <alignment horizontal="center"/>
    </xf>
    <xf numFmtId="0" fontId="35" fillId="6" borderId="0" xfId="0" applyFont="1" applyFill="1" applyAlignment="1">
      <alignment horizontal="center"/>
    </xf>
    <xf numFmtId="0" fontId="35" fillId="6" borderId="169" xfId="0" applyFont="1" applyFill="1" applyBorder="1" applyAlignment="1">
      <alignment horizontal="center"/>
    </xf>
    <xf numFmtId="0" fontId="14" fillId="8" borderId="8" xfId="0" applyFont="1" applyFill="1" applyBorder="1" applyAlignment="1">
      <alignment horizontal="center" vertical="center"/>
    </xf>
    <xf numFmtId="188" fontId="94" fillId="0" borderId="3" xfId="0" applyNumberFormat="1" applyFont="1" applyBorder="1" applyAlignment="1">
      <alignment horizontal="left" vertical="center"/>
    </xf>
    <xf numFmtId="188" fontId="94" fillId="0" borderId="4" xfId="0" applyNumberFormat="1" applyFont="1" applyBorder="1" applyAlignment="1">
      <alignment horizontal="left" vertical="center"/>
    </xf>
    <xf numFmtId="0" fontId="3" fillId="0" borderId="22" xfId="0" applyFont="1" applyBorder="1" applyAlignment="1">
      <alignment horizontal="center" vertical="center"/>
    </xf>
    <xf numFmtId="0" fontId="341" fillId="6" borderId="45" xfId="0" applyFont="1" applyFill="1" applyBorder="1" applyAlignment="1">
      <alignment horizontal="center" vertical="center"/>
    </xf>
    <xf numFmtId="0" fontId="342" fillId="6" borderId="45" xfId="0" applyFont="1" applyFill="1" applyBorder="1" applyAlignment="1">
      <alignment horizontal="center" vertical="center"/>
    </xf>
    <xf numFmtId="0" fontId="342" fillId="6" borderId="92" xfId="0" applyFont="1" applyFill="1" applyBorder="1" applyAlignment="1">
      <alignment horizontal="center" vertical="center"/>
    </xf>
    <xf numFmtId="0" fontId="13" fillId="14" borderId="54" xfId="0" applyFont="1" applyFill="1" applyBorder="1" applyAlignment="1">
      <alignment horizontal="center" vertical="center" wrapText="1"/>
    </xf>
    <xf numFmtId="0" fontId="13" fillId="14" borderId="5" xfId="0" applyFont="1" applyFill="1" applyBorder="1" applyAlignment="1">
      <alignment horizontal="center" vertical="center" wrapText="1"/>
    </xf>
    <xf numFmtId="0" fontId="12" fillId="0" borderId="46" xfId="0" applyFont="1" applyBorder="1" applyAlignment="1">
      <alignment horizontal="center" vertical="center" wrapText="1"/>
    </xf>
    <xf numFmtId="0" fontId="12" fillId="0" borderId="25" xfId="0" applyFont="1" applyBorder="1" applyAlignment="1">
      <alignment horizontal="center" vertical="center" wrapText="1"/>
    </xf>
    <xf numFmtId="0" fontId="2" fillId="0" borderId="45" xfId="0" applyFont="1" applyBorder="1" applyAlignment="1">
      <alignment vertical="center"/>
    </xf>
    <xf numFmtId="0" fontId="2" fillId="0" borderId="130" xfId="0" applyFont="1" applyBorder="1" applyAlignment="1">
      <alignment vertical="center"/>
    </xf>
    <xf numFmtId="0" fontId="14" fillId="33" borderId="117" xfId="0" applyFont="1" applyFill="1" applyBorder="1" applyAlignment="1">
      <alignment horizontal="left" vertical="center" textRotation="90"/>
    </xf>
    <xf numFmtId="0" fontId="14" fillId="33" borderId="216" xfId="0" applyFont="1" applyFill="1" applyBorder="1" applyAlignment="1">
      <alignment horizontal="left" vertical="center" textRotation="90"/>
    </xf>
    <xf numFmtId="0" fontId="392" fillId="35" borderId="51" xfId="0" applyFont="1" applyFill="1" applyBorder="1" applyAlignment="1">
      <alignment horizontal="center" vertical="center" textRotation="90" wrapText="1"/>
    </xf>
    <xf numFmtId="0" fontId="2" fillId="8" borderId="15" xfId="0" applyFont="1" applyFill="1" applyBorder="1" applyAlignment="1">
      <alignment horizontal="center"/>
    </xf>
    <xf numFmtId="0" fontId="2" fillId="8" borderId="37" xfId="0" applyFont="1" applyFill="1" applyBorder="1" applyAlignment="1">
      <alignment horizontal="center"/>
    </xf>
    <xf numFmtId="0" fontId="115" fillId="10" borderId="172" xfId="0" applyFont="1" applyFill="1" applyBorder="1" applyAlignment="1">
      <alignment horizontal="center"/>
    </xf>
    <xf numFmtId="0" fontId="115" fillId="10" borderId="24" xfId="0" applyFont="1" applyFill="1" applyBorder="1" applyAlignment="1">
      <alignment horizontal="center"/>
    </xf>
    <xf numFmtId="0" fontId="115" fillId="10" borderId="166" xfId="0" applyFont="1" applyFill="1" applyBorder="1" applyAlignment="1">
      <alignment horizontal="center"/>
    </xf>
    <xf numFmtId="0" fontId="185" fillId="10" borderId="181" xfId="0" applyFont="1" applyFill="1" applyBorder="1" applyAlignment="1">
      <alignment horizontal="left" indent="2"/>
    </xf>
    <xf numFmtId="0" fontId="185" fillId="10" borderId="0" xfId="0" applyFont="1" applyFill="1" applyAlignment="1">
      <alignment horizontal="left" indent="2"/>
    </xf>
    <xf numFmtId="0" fontId="185" fillId="10" borderId="169" xfId="0" applyFont="1" applyFill="1" applyBorder="1" applyAlignment="1">
      <alignment horizontal="left" indent="2"/>
    </xf>
    <xf numFmtId="0" fontId="2" fillId="6" borderId="172" xfId="0" applyFont="1" applyFill="1" applyBorder="1" applyAlignment="1">
      <alignment horizontal="center"/>
    </xf>
    <xf numFmtId="0" fontId="2" fillId="6" borderId="24" xfId="0" applyFont="1" applyFill="1" applyBorder="1" applyAlignment="1">
      <alignment horizontal="center"/>
    </xf>
    <xf numFmtId="0" fontId="2" fillId="6" borderId="166" xfId="0" applyFont="1" applyFill="1" applyBorder="1" applyAlignment="1">
      <alignment horizontal="center"/>
    </xf>
    <xf numFmtId="0" fontId="115" fillId="10" borderId="181" xfId="0" applyFont="1" applyFill="1" applyBorder="1" applyAlignment="1">
      <alignment horizontal="center"/>
    </xf>
    <xf numFmtId="0" fontId="115" fillId="10" borderId="0" xfId="0" applyFont="1" applyFill="1" applyAlignment="1">
      <alignment horizontal="center"/>
    </xf>
    <xf numFmtId="0" fontId="115" fillId="10" borderId="169" xfId="0" applyFont="1" applyFill="1" applyBorder="1" applyAlignment="1">
      <alignment horizontal="center"/>
    </xf>
    <xf numFmtId="0" fontId="170" fillId="0" borderId="124" xfId="0" applyFont="1" applyBorder="1" applyAlignment="1">
      <alignment horizontal="right" vertical="center" wrapText="1"/>
    </xf>
    <xf numFmtId="0" fontId="170" fillId="0" borderId="92" xfId="0" applyFont="1" applyBorder="1" applyAlignment="1">
      <alignment horizontal="right" vertical="center" wrapText="1"/>
    </xf>
    <xf numFmtId="0" fontId="170" fillId="0" borderId="51" xfId="0" applyFont="1" applyBorder="1" applyAlignment="1">
      <alignment horizontal="right" vertical="center" wrapText="1"/>
    </xf>
    <xf numFmtId="0" fontId="170" fillId="0" borderId="28" xfId="0" applyFont="1" applyBorder="1" applyAlignment="1">
      <alignment horizontal="right" vertical="center" wrapText="1"/>
    </xf>
    <xf numFmtId="0" fontId="170" fillId="0" borderId="44" xfId="0" applyFont="1" applyBorder="1" applyAlignment="1">
      <alignment horizontal="right" vertical="center" wrapText="1"/>
    </xf>
    <xf numFmtId="0" fontId="170" fillId="0" borderId="22" xfId="0" applyFont="1" applyBorder="1" applyAlignment="1">
      <alignment horizontal="right" vertical="center" wrapText="1"/>
    </xf>
    <xf numFmtId="0" fontId="169" fillId="0" borderId="124" xfId="0" applyFont="1" applyBorder="1" applyAlignment="1">
      <alignment horizontal="left" vertical="center" wrapText="1" indent="1"/>
    </xf>
    <xf numFmtId="0" fontId="169" fillId="0" borderId="92" xfId="0" applyFont="1" applyBorder="1" applyAlignment="1">
      <alignment horizontal="left" vertical="center" wrapText="1" indent="1"/>
    </xf>
    <xf numFmtId="0" fontId="169" fillId="0" borderId="51" xfId="0" applyFont="1" applyBorder="1" applyAlignment="1">
      <alignment horizontal="left" vertical="center" wrapText="1" indent="1"/>
    </xf>
    <xf numFmtId="0" fontId="169" fillId="0" borderId="28" xfId="0" applyFont="1" applyBorder="1" applyAlignment="1">
      <alignment horizontal="left" vertical="center" wrapText="1" indent="1"/>
    </xf>
    <xf numFmtId="0" fontId="420" fillId="0" borderId="242" xfId="0" applyFont="1" applyBorder="1" applyAlignment="1">
      <alignment horizontal="center" vertical="center"/>
    </xf>
    <xf numFmtId="0" fontId="420" fillId="0" borderId="246" xfId="0" applyFont="1" applyBorder="1" applyAlignment="1">
      <alignment horizontal="center" vertical="center"/>
    </xf>
    <xf numFmtId="0" fontId="9" fillId="0" borderId="178" xfId="0" applyFont="1" applyBorder="1" applyAlignment="1">
      <alignment horizontal="right" vertical="center"/>
    </xf>
    <xf numFmtId="0" fontId="9" fillId="0" borderId="171" xfId="0" applyFont="1" applyBorder="1" applyAlignment="1">
      <alignment horizontal="right" vertical="center"/>
    </xf>
    <xf numFmtId="0" fontId="153" fillId="0" borderId="178" xfId="0" applyFont="1" applyBorder="1" applyAlignment="1">
      <alignment horizontal="right" vertical="center" wrapText="1"/>
    </xf>
    <xf numFmtId="0" fontId="56" fillId="0" borderId="206" xfId="0" applyFont="1" applyBorder="1" applyAlignment="1">
      <alignment horizontal="right" vertical="center" wrapText="1"/>
    </xf>
    <xf numFmtId="0" fontId="12" fillId="0" borderId="61" xfId="0" applyFont="1" applyBorder="1" applyAlignment="1">
      <alignment horizontal="left" vertical="center"/>
    </xf>
    <xf numFmtId="0" fontId="12" fillId="0" borderId="111" xfId="0" applyFont="1" applyBorder="1" applyAlignment="1">
      <alignment horizontal="left" vertical="center"/>
    </xf>
    <xf numFmtId="0" fontId="12" fillId="0" borderId="27" xfId="0" applyFont="1" applyBorder="1" applyAlignment="1">
      <alignment horizontal="left" vertical="center"/>
    </xf>
    <xf numFmtId="0" fontId="12" fillId="0" borderId="24" xfId="0" applyFont="1" applyBorder="1" applyAlignment="1">
      <alignment horizontal="left" vertical="center"/>
    </xf>
    <xf numFmtId="0" fontId="111" fillId="34" borderId="41" xfId="0" applyFont="1" applyFill="1" applyBorder="1" applyAlignment="1">
      <alignment horizontal="center" vertical="center"/>
    </xf>
    <xf numFmtId="0" fontId="111" fillId="34" borderId="17" xfId="0" applyFont="1" applyFill="1" applyBorder="1" applyAlignment="1">
      <alignment horizontal="center" vertical="center"/>
    </xf>
    <xf numFmtId="0" fontId="19" fillId="6" borderId="142" xfId="0" applyFont="1" applyFill="1" applyBorder="1" applyAlignment="1">
      <alignment horizontal="center" vertical="center"/>
    </xf>
    <xf numFmtId="0" fontId="313" fillId="0" borderId="165" xfId="1" applyFont="1" applyFill="1" applyBorder="1" applyAlignment="1" applyProtection="1">
      <alignment horizontal="left" vertical="center"/>
    </xf>
    <xf numFmtId="0" fontId="313" fillId="0" borderId="241" xfId="1" applyFont="1" applyFill="1" applyBorder="1" applyAlignment="1" applyProtection="1">
      <alignment horizontal="left" vertical="center"/>
    </xf>
    <xf numFmtId="0" fontId="313" fillId="0" borderId="24" xfId="1" applyFont="1" applyFill="1" applyBorder="1" applyAlignment="1" applyProtection="1">
      <alignment horizontal="left" vertical="center"/>
    </xf>
    <xf numFmtId="0" fontId="313" fillId="0" borderId="35" xfId="1" applyFont="1" applyFill="1" applyBorder="1" applyAlignment="1" applyProtection="1">
      <alignment horizontal="left" vertical="center"/>
    </xf>
    <xf numFmtId="0" fontId="423" fillId="25" borderId="128" xfId="0" applyFont="1" applyFill="1" applyBorder="1" applyAlignment="1" applyProtection="1">
      <alignment horizontal="center" vertical="center"/>
      <protection locked="0"/>
    </xf>
    <xf numFmtId="0" fontId="423" fillId="25" borderId="2" xfId="0" applyFont="1" applyFill="1" applyBorder="1" applyAlignment="1" applyProtection="1">
      <alignment horizontal="center" vertical="center"/>
      <protection locked="0"/>
    </xf>
    <xf numFmtId="0" fontId="16" fillId="0" borderId="106" xfId="0" applyFont="1" applyBorder="1" applyAlignment="1">
      <alignment horizontal="center" vertical="center"/>
    </xf>
    <xf numFmtId="0" fontId="16" fillId="0" borderId="135" xfId="0" applyFont="1" applyBorder="1" applyAlignment="1">
      <alignment horizontal="center" vertical="center"/>
    </xf>
    <xf numFmtId="0" fontId="16" fillId="0" borderId="229" xfId="0" applyFont="1" applyBorder="1" applyAlignment="1">
      <alignment horizontal="center" vertical="center"/>
    </xf>
    <xf numFmtId="0" fontId="16" fillId="0" borderId="6" xfId="0" applyFont="1" applyBorder="1" applyAlignment="1">
      <alignment horizontal="center" vertical="center"/>
    </xf>
    <xf numFmtId="0" fontId="207" fillId="0" borderId="229" xfId="0" applyFont="1" applyBorder="1" applyAlignment="1">
      <alignment horizontal="center" vertical="center"/>
    </xf>
    <xf numFmtId="0" fontId="207" fillId="0" borderId="6" xfId="0" applyFont="1" applyBorder="1" applyAlignment="1">
      <alignment horizontal="center" vertical="center"/>
    </xf>
    <xf numFmtId="0" fontId="113" fillId="0" borderId="48" xfId="0" applyFont="1" applyBorder="1" applyAlignment="1">
      <alignment horizontal="right" vertical="center"/>
    </xf>
    <xf numFmtId="0" fontId="116" fillId="0" borderId="46" xfId="0" applyFont="1" applyBorder="1" applyAlignment="1">
      <alignment horizontal="left" vertical="center"/>
    </xf>
    <xf numFmtId="0" fontId="176" fillId="0" borderId="226" xfId="0" applyFont="1" applyBorder="1" applyAlignment="1">
      <alignment horizontal="left" vertical="top" wrapText="1"/>
    </xf>
    <xf numFmtId="0" fontId="176" fillId="0" borderId="111" xfId="0" applyFont="1" applyBorder="1" applyAlignment="1">
      <alignment horizontal="left" vertical="top" wrapText="1"/>
    </xf>
    <xf numFmtId="0" fontId="176" fillId="0" borderId="59" xfId="0" applyFont="1" applyBorder="1" applyAlignment="1">
      <alignment horizontal="left" vertical="top" wrapText="1"/>
    </xf>
    <xf numFmtId="0" fontId="176" fillId="0" borderId="24" xfId="0" applyFont="1" applyBorder="1" applyAlignment="1">
      <alignment horizontal="left" vertical="top" wrapText="1"/>
    </xf>
    <xf numFmtId="0" fontId="2" fillId="29" borderId="21" xfId="0" applyFont="1" applyFill="1" applyBorder="1" applyAlignment="1">
      <alignment horizontal="center" vertical="center"/>
    </xf>
    <xf numFmtId="0" fontId="2" fillId="29" borderId="3" xfId="0" applyFont="1" applyFill="1" applyBorder="1" applyAlignment="1">
      <alignment horizontal="center" vertical="center"/>
    </xf>
    <xf numFmtId="0" fontId="2" fillId="29" borderId="4" xfId="0" applyFont="1" applyFill="1" applyBorder="1" applyAlignment="1">
      <alignment horizontal="center" vertical="center"/>
    </xf>
    <xf numFmtId="188" fontId="211" fillId="25" borderId="8" xfId="0" applyNumberFormat="1" applyFont="1" applyFill="1" applyBorder="1" applyAlignment="1" applyProtection="1">
      <alignment horizontal="left" vertical="center"/>
      <protection locked="0"/>
    </xf>
    <xf numFmtId="188" fontId="211" fillId="25" borderId="23" xfId="0" applyNumberFormat="1" applyFont="1" applyFill="1" applyBorder="1" applyAlignment="1" applyProtection="1">
      <alignment horizontal="left" vertical="center"/>
      <protection locked="0"/>
    </xf>
    <xf numFmtId="0" fontId="106" fillId="16" borderId="5" xfId="0" applyFont="1" applyFill="1" applyBorder="1" applyAlignment="1">
      <alignment horizontal="left" vertical="center" wrapText="1"/>
    </xf>
    <xf numFmtId="0" fontId="106" fillId="16" borderId="8" xfId="0" applyFont="1" applyFill="1" applyBorder="1" applyAlignment="1">
      <alignment horizontal="left" vertical="center"/>
    </xf>
    <xf numFmtId="0" fontId="14" fillId="0" borderId="135"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25" xfId="0" applyFont="1" applyBorder="1" applyAlignment="1">
      <alignment horizontal="center" vertical="center" wrapText="1"/>
    </xf>
    <xf numFmtId="0" fontId="381" fillId="0" borderId="0" xfId="0" applyFont="1" applyAlignment="1">
      <alignment vertical="center"/>
    </xf>
    <xf numFmtId="0" fontId="384" fillId="25" borderId="0" xfId="0" applyFont="1" applyFill="1" applyAlignment="1">
      <alignment horizontal="right" vertical="center"/>
    </xf>
    <xf numFmtId="0" fontId="9" fillId="0" borderId="85" xfId="0" applyFont="1" applyBorder="1" applyAlignment="1">
      <alignment horizontal="center" vertical="center"/>
    </xf>
    <xf numFmtId="0" fontId="9" fillId="0" borderId="117" xfId="0" applyFont="1" applyBorder="1" applyAlignment="1">
      <alignment horizontal="center" vertical="center"/>
    </xf>
    <xf numFmtId="0" fontId="9" fillId="0" borderId="122" xfId="0" applyFont="1" applyBorder="1" applyAlignment="1">
      <alignment horizontal="center" vertical="center"/>
    </xf>
    <xf numFmtId="192" fontId="9" fillId="0" borderId="21" xfId="0" applyNumberFormat="1" applyFont="1" applyBorder="1" applyAlignment="1">
      <alignment horizontal="center" vertical="center"/>
    </xf>
    <xf numFmtId="192" fontId="9" fillId="0" borderId="36" xfId="0" applyNumberFormat="1" applyFont="1" applyBorder="1" applyAlignment="1">
      <alignment horizontal="center" vertical="center"/>
    </xf>
    <xf numFmtId="189" fontId="9" fillId="0" borderId="10" xfId="0" applyNumberFormat="1" applyFont="1" applyBorder="1" applyAlignment="1">
      <alignment horizontal="center" vertical="center"/>
    </xf>
    <xf numFmtId="189" fontId="9" fillId="0" borderId="34" xfId="0" applyNumberFormat="1" applyFont="1" applyBorder="1" applyAlignment="1">
      <alignment horizontal="center" vertical="center"/>
    </xf>
    <xf numFmtId="189" fontId="12" fillId="0" borderId="10" xfId="0" applyNumberFormat="1" applyFont="1" applyBorder="1" applyAlignment="1">
      <alignment horizontal="center" vertical="center"/>
    </xf>
    <xf numFmtId="189" fontId="12" fillId="0" borderId="34" xfId="0" applyNumberFormat="1" applyFont="1" applyBorder="1" applyAlignment="1">
      <alignment horizontal="center" vertical="center"/>
    </xf>
    <xf numFmtId="190" fontId="9" fillId="0" borderId="10" xfId="0" applyNumberFormat="1" applyFont="1" applyBorder="1" applyAlignment="1">
      <alignment horizontal="center" vertical="center"/>
    </xf>
    <xf numFmtId="190" fontId="9" fillId="0" borderId="34" xfId="0" applyNumberFormat="1" applyFont="1" applyBorder="1" applyAlignment="1">
      <alignment horizontal="center" vertical="center"/>
    </xf>
    <xf numFmtId="0" fontId="380" fillId="0" borderId="0" xfId="0" applyFont="1" applyAlignment="1">
      <alignment horizontal="left" vertical="center" wrapText="1"/>
    </xf>
    <xf numFmtId="0" fontId="2" fillId="3" borderId="152" xfId="0" applyFont="1" applyFill="1" applyBorder="1" applyAlignment="1">
      <alignment horizontal="center" wrapText="1"/>
    </xf>
    <xf numFmtId="0" fontId="2" fillId="3" borderId="83" xfId="0" applyFont="1" applyFill="1" applyBorder="1" applyAlignment="1">
      <alignment horizontal="center" wrapText="1"/>
    </xf>
    <xf numFmtId="0" fontId="9" fillId="4" borderId="42"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75" fillId="25" borderId="230" xfId="0" applyFont="1" applyFill="1" applyBorder="1" applyAlignment="1" applyProtection="1">
      <alignment horizontal="center" vertical="center"/>
      <protection locked="0"/>
    </xf>
    <xf numFmtId="0" fontId="75" fillId="25" borderId="13" xfId="0" applyFont="1" applyFill="1" applyBorder="1" applyAlignment="1" applyProtection="1">
      <alignment horizontal="center" vertical="center"/>
      <protection locked="0"/>
    </xf>
    <xf numFmtId="0" fontId="75" fillId="25" borderId="232" xfId="0" applyFont="1" applyFill="1" applyBorder="1" applyAlignment="1" applyProtection="1">
      <alignment horizontal="center" vertical="center"/>
      <protection locked="0"/>
    </xf>
    <xf numFmtId="0" fontId="75" fillId="25" borderId="66" xfId="0" applyFont="1" applyFill="1" applyBorder="1" applyAlignment="1" applyProtection="1">
      <alignment horizontal="center" vertical="center"/>
      <protection locked="0"/>
    </xf>
    <xf numFmtId="0" fontId="0" fillId="0" borderId="40" xfId="0" applyBorder="1" applyAlignment="1">
      <alignment vertical="center"/>
    </xf>
    <xf numFmtId="0" fontId="0" fillId="0" borderId="19" xfId="0" applyBorder="1" applyAlignment="1">
      <alignment vertical="center"/>
    </xf>
    <xf numFmtId="0" fontId="0" fillId="0" borderId="51" xfId="0" applyBorder="1" applyAlignment="1">
      <alignment vertical="center"/>
    </xf>
    <xf numFmtId="0" fontId="0" fillId="0" borderId="46" xfId="0" applyBorder="1" applyAlignment="1">
      <alignment vertical="center"/>
    </xf>
    <xf numFmtId="0" fontId="0" fillId="0" borderId="44" xfId="0" applyBorder="1" applyAlignment="1">
      <alignment vertical="center"/>
    </xf>
    <xf numFmtId="0" fontId="0" fillId="0" borderId="25" xfId="0" applyBorder="1" applyAlignment="1">
      <alignment vertical="center"/>
    </xf>
    <xf numFmtId="164" fontId="9" fillId="0" borderId="5" xfId="0" applyNumberFormat="1" applyFont="1" applyBorder="1" applyAlignment="1">
      <alignment horizontal="center" vertical="center" wrapText="1"/>
    </xf>
    <xf numFmtId="164" fontId="9" fillId="0" borderId="34" xfId="0" applyNumberFormat="1" applyFont="1" applyBorder="1" applyAlignment="1">
      <alignment horizontal="center" vertical="center" wrapText="1"/>
    </xf>
    <xf numFmtId="2" fontId="9" fillId="0" borderId="5" xfId="0" applyNumberFormat="1" applyFont="1" applyBorder="1" applyAlignment="1">
      <alignment horizontal="center" vertical="center" wrapText="1"/>
    </xf>
    <xf numFmtId="2" fontId="9" fillId="0" borderId="34" xfId="0" applyNumberFormat="1" applyFont="1" applyBorder="1" applyAlignment="1">
      <alignment horizontal="center" vertical="center" wrapText="1"/>
    </xf>
    <xf numFmtId="0" fontId="9" fillId="0" borderId="8" xfId="0" applyFont="1" applyBorder="1" applyAlignment="1">
      <alignment horizontal="center" vertical="center"/>
    </xf>
    <xf numFmtId="0" fontId="9" fillId="0" borderId="33" xfId="0" applyFont="1" applyBorder="1" applyAlignment="1">
      <alignment horizontal="center" vertical="center"/>
    </xf>
    <xf numFmtId="0" fontId="2" fillId="0" borderId="3" xfId="0" applyFont="1" applyBorder="1" applyAlignment="1">
      <alignment horizontal="center" vertical="center"/>
    </xf>
    <xf numFmtId="0" fontId="2" fillId="0" borderId="36" xfId="0" applyFont="1" applyBorder="1" applyAlignment="1">
      <alignment horizontal="center" vertical="center"/>
    </xf>
    <xf numFmtId="0" fontId="361" fillId="25" borderId="9" xfId="0" applyFont="1" applyFill="1" applyBorder="1" applyAlignment="1" applyProtection="1">
      <alignment horizontal="center" vertical="center" wrapText="1"/>
      <protection locked="0"/>
    </xf>
    <xf numFmtId="0" fontId="361" fillId="25" borderId="33" xfId="0" applyFont="1" applyFill="1" applyBorder="1" applyAlignment="1" applyProtection="1">
      <alignment horizontal="center" vertical="center" wrapText="1"/>
      <protection locked="0"/>
    </xf>
    <xf numFmtId="0" fontId="361" fillId="25" borderId="21" xfId="0" applyFont="1" applyFill="1" applyBorder="1" applyAlignment="1" applyProtection="1">
      <alignment horizontal="center" vertical="center"/>
      <protection locked="0"/>
    </xf>
    <xf numFmtId="0" fontId="361" fillId="25" borderId="36" xfId="0" applyFont="1" applyFill="1" applyBorder="1" applyAlignment="1" applyProtection="1">
      <alignment horizontal="center" vertical="center"/>
      <protection locked="0"/>
    </xf>
    <xf numFmtId="2" fontId="3" fillId="0" borderId="10" xfId="0" applyNumberFormat="1" applyFont="1" applyBorder="1" applyAlignment="1">
      <alignment horizontal="center"/>
    </xf>
    <xf numFmtId="2" fontId="3" fillId="0" borderId="34" xfId="0" applyNumberFormat="1" applyFont="1" applyBorder="1" applyAlignment="1">
      <alignment horizontal="center"/>
    </xf>
    <xf numFmtId="2" fontId="3" fillId="0" borderId="14" xfId="0" applyNumberFormat="1" applyFont="1" applyBorder="1" applyAlignment="1">
      <alignment horizontal="center"/>
    </xf>
    <xf numFmtId="2" fontId="3" fillId="0" borderId="32" xfId="0" applyNumberFormat="1" applyFont="1" applyBorder="1" applyAlignment="1">
      <alignment horizontal="center"/>
    </xf>
    <xf numFmtId="0" fontId="361" fillId="25" borderId="14" xfId="0" applyFont="1" applyFill="1" applyBorder="1" applyAlignment="1" applyProtection="1">
      <alignment horizontal="center" vertical="center"/>
      <protection locked="0"/>
    </xf>
    <xf numFmtId="0" fontId="361" fillId="25" borderId="6" xfId="0" applyFont="1" applyFill="1" applyBorder="1" applyAlignment="1" applyProtection="1">
      <alignment horizontal="center" vertical="center"/>
      <protection locked="0"/>
    </xf>
    <xf numFmtId="0" fontId="141" fillId="0" borderId="14" xfId="0" applyFont="1" applyBorder="1" applyAlignment="1">
      <alignment horizontal="center" vertical="center" wrapText="1"/>
    </xf>
    <xf numFmtId="0" fontId="141" fillId="0" borderId="6" xfId="0" applyFont="1" applyBorder="1" applyAlignment="1">
      <alignment horizontal="center" vertical="center" wrapText="1"/>
    </xf>
    <xf numFmtId="0" fontId="77" fillId="0" borderId="111" xfId="0" applyFont="1" applyBorder="1" applyAlignment="1">
      <alignment horizontal="center" vertical="center"/>
    </xf>
    <xf numFmtId="0" fontId="77" fillId="0" borderId="16" xfId="0" applyFont="1" applyBorder="1" applyAlignment="1">
      <alignment horizontal="center" vertical="center"/>
    </xf>
    <xf numFmtId="0" fontId="77" fillId="0" borderId="14" xfId="0" applyFont="1" applyBorder="1" applyAlignment="1">
      <alignment horizontal="center" vertical="center"/>
    </xf>
    <xf numFmtId="0" fontId="77" fillId="0" borderId="18" xfId="0" applyFont="1" applyBorder="1" applyAlignment="1">
      <alignment horizontal="center" vertical="center"/>
    </xf>
    <xf numFmtId="49" fontId="77" fillId="8" borderId="21" xfId="0" applyNumberFormat="1" applyFont="1" applyFill="1" applyBorder="1" applyAlignment="1">
      <alignment horizontal="center" vertical="center"/>
    </xf>
    <xf numFmtId="49" fontId="77" fillId="8" borderId="4" xfId="0" applyNumberFormat="1" applyFont="1" applyFill="1" applyBorder="1" applyAlignment="1">
      <alignment horizontal="center" vertical="center"/>
    </xf>
    <xf numFmtId="0" fontId="30" fillId="0" borderId="0" xfId="0" applyFont="1" applyAlignment="1">
      <alignment horizontal="center"/>
    </xf>
    <xf numFmtId="49" fontId="77" fillId="0" borderId="27" xfId="0" applyNumberFormat="1" applyFont="1" applyBorder="1" applyAlignment="1">
      <alignment horizontal="center" vertical="center"/>
    </xf>
    <xf numFmtId="49" fontId="77" fillId="0" borderId="25" xfId="0" applyNumberFormat="1" applyFont="1" applyBorder="1" applyAlignment="1">
      <alignment horizontal="center" vertical="center"/>
    </xf>
    <xf numFmtId="49" fontId="9" fillId="0" borderId="92" xfId="0" applyNumberFormat="1" applyFont="1" applyBorder="1" applyAlignment="1">
      <alignment horizontal="center" vertical="center"/>
    </xf>
    <xf numFmtId="49" fontId="9" fillId="0" borderId="18" xfId="0" applyNumberFormat="1" applyFont="1" applyBorder="1" applyAlignment="1">
      <alignment horizontal="center" vertical="center"/>
    </xf>
    <xf numFmtId="0" fontId="9" fillId="8" borderId="111" xfId="0" applyFont="1" applyFill="1" applyBorder="1" applyAlignment="1">
      <alignment horizontal="left" vertical="center" wrapText="1"/>
    </xf>
    <xf numFmtId="0" fontId="9" fillId="8" borderId="8" xfId="0" applyFont="1" applyFill="1" applyBorder="1" applyAlignment="1">
      <alignment horizontal="left" vertical="center" wrapText="1"/>
    </xf>
    <xf numFmtId="0" fontId="9" fillId="8" borderId="23" xfId="0" applyFont="1" applyFill="1" applyBorder="1" applyAlignment="1">
      <alignment horizontal="left" vertical="center" wrapText="1"/>
    </xf>
    <xf numFmtId="0" fontId="9" fillId="8" borderId="3" xfId="0" applyFont="1" applyFill="1" applyBorder="1" applyAlignment="1">
      <alignment horizontal="left" vertical="center" wrapText="1"/>
    </xf>
    <xf numFmtId="0" fontId="9" fillId="8" borderId="4" xfId="0" applyFont="1" applyFill="1" applyBorder="1" applyAlignment="1">
      <alignment horizontal="left" vertical="center" wrapText="1"/>
    </xf>
    <xf numFmtId="0" fontId="9" fillId="8" borderId="16" xfId="0" applyFont="1" applyFill="1" applyBorder="1" applyAlignment="1">
      <alignment horizontal="left" vertical="center" wrapText="1"/>
    </xf>
    <xf numFmtId="0" fontId="9" fillId="8" borderId="18" xfId="0" applyFont="1" applyFill="1" applyBorder="1" applyAlignment="1">
      <alignment horizontal="left" vertical="center" wrapText="1"/>
    </xf>
    <xf numFmtId="0" fontId="9" fillId="8" borderId="5" xfId="0" applyFont="1" applyFill="1" applyBorder="1" applyAlignment="1">
      <alignment horizontal="left" vertical="center" wrapText="1"/>
    </xf>
    <xf numFmtId="0" fontId="9" fillId="8" borderId="13" xfId="0" applyFont="1" applyFill="1" applyBorder="1" applyAlignment="1">
      <alignment horizontal="left" vertical="center" wrapText="1"/>
    </xf>
    <xf numFmtId="0" fontId="2" fillId="0" borderId="17" xfId="0" applyFont="1" applyBorder="1" applyAlignment="1">
      <alignment horizontal="center" vertical="center"/>
    </xf>
    <xf numFmtId="0" fontId="2" fillId="0" borderId="37" xfId="0" applyFont="1" applyBorder="1" applyAlignment="1">
      <alignment horizontal="center" vertical="center"/>
    </xf>
    <xf numFmtId="49" fontId="9" fillId="2" borderId="8" xfId="0" applyNumberFormat="1" applyFont="1" applyFill="1" applyBorder="1" applyAlignment="1">
      <alignment horizontal="center"/>
    </xf>
    <xf numFmtId="49" fontId="9" fillId="2" borderId="11" xfId="0" applyNumberFormat="1" applyFont="1" applyFill="1" applyBorder="1" applyAlignment="1">
      <alignment horizontal="center"/>
    </xf>
    <xf numFmtId="0" fontId="133" fillId="8" borderId="44" xfId="0" applyFont="1" applyFill="1" applyBorder="1" applyAlignment="1">
      <alignment horizontal="center" vertical="center"/>
    </xf>
    <xf numFmtId="0" fontId="133" fillId="8" borderId="24" xfId="0" applyFont="1" applyFill="1" applyBorder="1" applyAlignment="1">
      <alignment horizontal="center" vertical="center"/>
    </xf>
    <xf numFmtId="0" fontId="133" fillId="8" borderId="22" xfId="0" applyFont="1" applyFill="1" applyBorder="1" applyAlignment="1">
      <alignment horizontal="center" vertical="center"/>
    </xf>
    <xf numFmtId="0" fontId="3" fillId="2" borderId="0" xfId="0" applyFont="1" applyFill="1" applyAlignment="1">
      <alignment horizontal="left"/>
    </xf>
    <xf numFmtId="49" fontId="77" fillId="0" borderId="22" xfId="0" applyNumberFormat="1" applyFont="1" applyBorder="1" applyAlignment="1">
      <alignment horizontal="center" vertical="center"/>
    </xf>
    <xf numFmtId="0" fontId="6" fillId="25" borderId="61" xfId="0" applyFont="1" applyFill="1" applyBorder="1" applyAlignment="1" applyProtection="1">
      <alignment horizontal="center" vertical="center" wrapText="1"/>
      <protection locked="0"/>
    </xf>
    <xf numFmtId="0" fontId="6" fillId="25" borderId="114" xfId="0" applyFont="1" applyFill="1" applyBorder="1" applyAlignment="1" applyProtection="1">
      <alignment horizontal="center" vertical="center" wrapText="1"/>
      <protection locked="0"/>
    </xf>
    <xf numFmtId="0" fontId="323" fillId="25" borderId="10" xfId="0" applyFont="1" applyFill="1" applyBorder="1" applyAlignment="1" applyProtection="1">
      <alignment horizontal="center" vertical="center" wrapText="1"/>
      <protection locked="0"/>
    </xf>
    <xf numFmtId="0" fontId="323" fillId="25" borderId="34" xfId="0" applyFont="1" applyFill="1" applyBorder="1" applyAlignment="1" applyProtection="1">
      <alignment horizontal="center" vertical="center" wrapText="1"/>
      <protection locked="0"/>
    </xf>
    <xf numFmtId="0" fontId="9" fillId="0" borderId="114" xfId="0" applyFont="1" applyBorder="1" applyAlignment="1">
      <alignment horizontal="center" vertical="center" wrapText="1"/>
    </xf>
    <xf numFmtId="0" fontId="9" fillId="0" borderId="35" xfId="0" applyFont="1" applyBorder="1" applyAlignment="1">
      <alignment horizontal="center" vertical="center" wrapText="1"/>
    </xf>
    <xf numFmtId="0" fontId="41" fillId="0" borderId="0" xfId="0" applyFont="1" applyAlignment="1">
      <alignment vertical="center"/>
    </xf>
    <xf numFmtId="0" fontId="361" fillId="25" borderId="16" xfId="0" applyFont="1" applyFill="1" applyBorder="1" applyAlignment="1" applyProtection="1">
      <alignment horizontal="center" vertical="center"/>
      <protection locked="0"/>
    </xf>
    <xf numFmtId="0" fontId="361" fillId="25" borderId="10" xfId="0" applyFont="1" applyFill="1" applyBorder="1" applyAlignment="1" applyProtection="1">
      <alignment horizontal="center" vertical="center" wrapText="1"/>
      <protection locked="0"/>
    </xf>
    <xf numFmtId="0" fontId="361" fillId="25" borderId="5" xfId="0" applyFont="1" applyFill="1" applyBorder="1" applyAlignment="1" applyProtection="1">
      <alignment horizontal="center" vertical="center" wrapText="1"/>
      <protection locked="0"/>
    </xf>
    <xf numFmtId="0" fontId="361" fillId="25" borderId="12" xfId="0" applyFont="1" applyFill="1" applyBorder="1" applyAlignment="1" applyProtection="1">
      <alignment horizontal="center" vertical="center" wrapText="1"/>
      <protection locked="0"/>
    </xf>
    <xf numFmtId="0" fontId="11" fillId="28" borderId="0" xfId="0" applyFont="1" applyFill="1" applyAlignment="1">
      <alignment horizontal="center" vertical="center"/>
    </xf>
    <xf numFmtId="49" fontId="77" fillId="0" borderId="44" xfId="0" applyNumberFormat="1" applyFont="1" applyBorder="1" applyAlignment="1">
      <alignment horizontal="center" vertical="center"/>
    </xf>
    <xf numFmtId="0" fontId="75" fillId="25" borderId="45" xfId="0" applyFont="1" applyFill="1" applyBorder="1" applyAlignment="1" applyProtection="1">
      <alignment horizontal="left" vertical="center"/>
      <protection locked="0"/>
    </xf>
    <xf numFmtId="0" fontId="75" fillId="25" borderId="16" xfId="0" applyFont="1" applyFill="1" applyBorder="1" applyAlignment="1" applyProtection="1">
      <alignment horizontal="left" vertical="center"/>
      <protection locked="0"/>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9" fillId="0" borderId="18" xfId="0" applyFont="1" applyBorder="1" applyAlignment="1">
      <alignment horizontal="center" vertical="center"/>
    </xf>
    <xf numFmtId="0" fontId="3" fillId="0" borderId="117" xfId="0" applyFont="1" applyBorder="1" applyAlignment="1">
      <alignment horizontal="center" vertical="center" textRotation="90"/>
    </xf>
    <xf numFmtId="0" fontId="3" fillId="0" borderId="56" xfId="0" applyFont="1" applyBorder="1" applyAlignment="1">
      <alignment horizontal="center" vertical="center" textRotation="90"/>
    </xf>
    <xf numFmtId="0" fontId="75" fillId="25" borderId="111" xfId="0" applyFont="1" applyFill="1" applyBorder="1" applyAlignment="1" applyProtection="1">
      <alignment horizontal="left" vertical="center"/>
      <protection locked="0"/>
    </xf>
    <xf numFmtId="0" fontId="9" fillId="25" borderId="136" xfId="0" applyFont="1" applyFill="1" applyBorder="1" applyAlignment="1" applyProtection="1">
      <alignment vertical="center"/>
      <protection locked="0"/>
    </xf>
    <xf numFmtId="0" fontId="9" fillId="25" borderId="18" xfId="0" applyFont="1" applyFill="1" applyBorder="1" applyAlignment="1" applyProtection="1">
      <alignment vertical="center"/>
      <protection locked="0"/>
    </xf>
    <xf numFmtId="0" fontId="81" fillId="25" borderId="61" xfId="0" applyFont="1" applyFill="1" applyBorder="1" applyAlignment="1" applyProtection="1">
      <alignment vertical="center"/>
      <protection locked="0"/>
    </xf>
    <xf numFmtId="0" fontId="81" fillId="25" borderId="14" xfId="0" applyFont="1" applyFill="1" applyBorder="1" applyAlignment="1" applyProtection="1">
      <alignment vertical="center"/>
      <protection locked="0"/>
    </xf>
    <xf numFmtId="0" fontId="6" fillId="25" borderId="40" xfId="0" applyFont="1" applyFill="1" applyBorder="1" applyAlignment="1" applyProtection="1">
      <alignment horizontal="center" vertical="center" wrapText="1"/>
      <protection locked="0"/>
    </xf>
    <xf numFmtId="0" fontId="6" fillId="25" borderId="36" xfId="0" applyFont="1" applyFill="1" applyBorder="1" applyAlignment="1" applyProtection="1">
      <alignment horizontal="center" vertical="center" wrapText="1"/>
      <protection locked="0"/>
    </xf>
    <xf numFmtId="0" fontId="6" fillId="25" borderId="54" xfId="0" applyFont="1" applyFill="1" applyBorder="1" applyAlignment="1" applyProtection="1">
      <alignment horizontal="center" vertical="center" wrapText="1"/>
      <protection locked="0"/>
    </xf>
    <xf numFmtId="0" fontId="6" fillId="25" borderId="13" xfId="0" applyFont="1" applyFill="1" applyBorder="1" applyAlignment="1" applyProtection="1">
      <alignment horizontal="center" vertical="center" wrapText="1"/>
      <protection locked="0"/>
    </xf>
    <xf numFmtId="0" fontId="9" fillId="0" borderId="129" xfId="0" applyFont="1" applyBorder="1" applyAlignment="1">
      <alignment horizontal="center" vertical="center" wrapText="1"/>
    </xf>
    <xf numFmtId="0" fontId="9" fillId="0" borderId="135"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89" xfId="0" applyFont="1" applyBorder="1" applyAlignment="1">
      <alignment horizontal="center" vertical="center" wrapText="1"/>
    </xf>
    <xf numFmtId="0" fontId="9" fillId="0" borderId="144" xfId="0" applyFont="1" applyBorder="1" applyAlignment="1">
      <alignment horizontal="center" vertical="center" wrapText="1"/>
    </xf>
    <xf numFmtId="0" fontId="6" fillId="25" borderId="21" xfId="0" applyFont="1" applyFill="1" applyBorder="1" applyAlignment="1" applyProtection="1">
      <alignment horizontal="center" vertical="center" wrapText="1"/>
      <protection locked="0"/>
    </xf>
    <xf numFmtId="2" fontId="3" fillId="0" borderId="21" xfId="0" applyNumberFormat="1" applyFont="1" applyBorder="1" applyAlignment="1">
      <alignment horizontal="center"/>
    </xf>
    <xf numFmtId="2" fontId="3" fillId="0" borderId="36" xfId="0" applyNumberFormat="1" applyFont="1" applyBorder="1" applyAlignment="1">
      <alignment horizontal="center"/>
    </xf>
    <xf numFmtId="0" fontId="361" fillId="25" borderId="21" xfId="0" applyFont="1" applyFill="1" applyBorder="1" applyAlignment="1" applyProtection="1">
      <alignment horizontal="center" vertical="center" wrapText="1"/>
      <protection locked="0"/>
    </xf>
    <xf numFmtId="0" fontId="361" fillId="25" borderId="3" xfId="0" applyFont="1" applyFill="1" applyBorder="1" applyAlignment="1" applyProtection="1">
      <alignment horizontal="center" vertical="center" wrapText="1"/>
      <protection locked="0"/>
    </xf>
    <xf numFmtId="0" fontId="361" fillId="25" borderId="19" xfId="0" applyFont="1" applyFill="1" applyBorder="1" applyAlignment="1" applyProtection="1">
      <alignment horizontal="center" vertical="center" wrapText="1"/>
      <protection locked="0"/>
    </xf>
    <xf numFmtId="0" fontId="135" fillId="8" borderId="239" xfId="0" applyFont="1" applyFill="1" applyBorder="1" applyAlignment="1">
      <alignment horizontal="center" vertical="center" wrapText="1"/>
    </xf>
    <xf numFmtId="0" fontId="135" fillId="8" borderId="241" xfId="0" applyFont="1" applyFill="1" applyBorder="1" applyAlignment="1">
      <alignment horizontal="center" vertical="center" wrapText="1"/>
    </xf>
    <xf numFmtId="0" fontId="141" fillId="0" borderId="10" xfId="0" applyFont="1" applyBorder="1" applyAlignment="1">
      <alignment horizontal="center" vertical="center" wrapText="1"/>
    </xf>
    <xf numFmtId="0" fontId="141" fillId="0" borderId="12" xfId="0" applyFont="1" applyBorder="1" applyAlignment="1">
      <alignment horizontal="center" vertical="center" wrapText="1"/>
    </xf>
    <xf numFmtId="0" fontId="6" fillId="25" borderId="27" xfId="0" applyFont="1" applyFill="1" applyBorder="1" applyAlignment="1" applyProtection="1">
      <alignment horizontal="center" vertical="center" wrapText="1"/>
      <protection locked="0"/>
    </xf>
    <xf numFmtId="0" fontId="6" fillId="25" borderId="25" xfId="0" applyFont="1" applyFill="1" applyBorder="1" applyAlignment="1" applyProtection="1">
      <alignment horizontal="center" vertical="center" wrapText="1"/>
      <protection locked="0"/>
    </xf>
    <xf numFmtId="0" fontId="9" fillId="4" borderId="146" xfId="0" applyFont="1" applyFill="1" applyBorder="1" applyAlignment="1">
      <alignment horizontal="center" vertical="center" wrapText="1"/>
    </xf>
    <xf numFmtId="0" fontId="9" fillId="4" borderId="150" xfId="0" applyFont="1" applyFill="1" applyBorder="1" applyAlignment="1">
      <alignment horizontal="center" vertical="center" wrapText="1"/>
    </xf>
    <xf numFmtId="0" fontId="6" fillId="25" borderId="12" xfId="0" applyFont="1" applyFill="1" applyBorder="1" applyAlignment="1" applyProtection="1">
      <alignment horizontal="center" vertical="center" wrapText="1"/>
      <protection locked="0"/>
    </xf>
    <xf numFmtId="0" fontId="6" fillId="25" borderId="90" xfId="0" applyFont="1" applyFill="1" applyBorder="1" applyAlignment="1" applyProtection="1">
      <alignment horizontal="center" vertical="center" wrapText="1"/>
      <protection locked="0"/>
    </xf>
    <xf numFmtId="0" fontId="6" fillId="25" borderId="53" xfId="0" applyFont="1" applyFill="1" applyBorder="1" applyAlignment="1" applyProtection="1">
      <alignment horizontal="center" vertical="center" wrapText="1"/>
      <protection locked="0"/>
    </xf>
    <xf numFmtId="0" fontId="6" fillId="25" borderId="19" xfId="0" applyFont="1" applyFill="1" applyBorder="1" applyAlignment="1" applyProtection="1">
      <alignment horizontal="center" vertical="center" wrapText="1"/>
      <protection locked="0"/>
    </xf>
    <xf numFmtId="0" fontId="9" fillId="0" borderId="124" xfId="0" applyFont="1" applyBorder="1" applyAlignment="1">
      <alignment horizontal="center" vertical="center" wrapText="1"/>
    </xf>
    <xf numFmtId="0" fontId="9" fillId="0" borderId="51" xfId="0" applyFont="1" applyBorder="1" applyAlignment="1">
      <alignment horizontal="center" vertical="center" wrapText="1"/>
    </xf>
    <xf numFmtId="0" fontId="6" fillId="25" borderId="14" xfId="0" applyFont="1" applyFill="1" applyBorder="1" applyAlignment="1" applyProtection="1">
      <alignment horizontal="center" vertical="center" wrapText="1"/>
      <protection locked="0"/>
    </xf>
    <xf numFmtId="0" fontId="6" fillId="25" borderId="6" xfId="0" applyFont="1" applyFill="1" applyBorder="1" applyAlignment="1" applyProtection="1">
      <alignment horizontal="center" vertical="center" wrapText="1"/>
      <protection locked="0"/>
    </xf>
    <xf numFmtId="0" fontId="6" fillId="25" borderId="10" xfId="0" applyFont="1" applyFill="1" applyBorder="1" applyAlignment="1" applyProtection="1">
      <alignment horizontal="center" vertical="center" wrapText="1"/>
      <protection locked="0"/>
    </xf>
    <xf numFmtId="0" fontId="9" fillId="0" borderId="44" xfId="0" applyFont="1" applyBorder="1" applyAlignment="1">
      <alignment horizontal="center" vertical="center" wrapText="1"/>
    </xf>
    <xf numFmtId="0" fontId="9" fillId="0" borderId="25" xfId="0" applyFont="1" applyBorder="1" applyAlignment="1">
      <alignment horizontal="center" vertical="center" wrapText="1"/>
    </xf>
    <xf numFmtId="0" fontId="9" fillId="4" borderId="27"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22" fillId="0" borderId="74" xfId="0" applyFont="1" applyBorder="1" applyAlignment="1">
      <alignment vertical="center" wrapText="1"/>
    </xf>
    <xf numFmtId="0" fontId="22" fillId="0" borderId="157" xfId="0" applyFont="1" applyBorder="1" applyAlignment="1">
      <alignment vertical="center" wrapText="1"/>
    </xf>
    <xf numFmtId="0" fontId="22" fillId="0" borderId="50" xfId="0" applyFont="1" applyBorder="1" applyAlignment="1">
      <alignment vertical="center" wrapText="1"/>
    </xf>
    <xf numFmtId="0" fontId="13" fillId="3" borderId="119" xfId="0" applyFont="1" applyFill="1" applyBorder="1" applyAlignment="1">
      <alignment vertical="center" wrapText="1"/>
    </xf>
    <xf numFmtId="0" fontId="13" fillId="3" borderId="145" xfId="0" applyFont="1" applyFill="1" applyBorder="1" applyAlignment="1">
      <alignment vertical="center" wrapText="1"/>
    </xf>
    <xf numFmtId="0" fontId="9" fillId="0" borderId="6" xfId="0" applyFont="1" applyBorder="1" applyAlignment="1">
      <alignment horizontal="right" vertical="center"/>
    </xf>
    <xf numFmtId="0" fontId="9" fillId="0" borderId="10"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6" fillId="25" borderId="72" xfId="0" applyFont="1" applyFill="1" applyBorder="1" applyAlignment="1" applyProtection="1">
      <alignment horizontal="center" vertical="center" wrapText="1"/>
      <protection locked="0"/>
    </xf>
    <xf numFmtId="0" fontId="6" fillId="25" borderId="1" xfId="0" applyFont="1" applyFill="1" applyBorder="1" applyAlignment="1" applyProtection="1">
      <alignment horizontal="center" vertical="center" wrapText="1"/>
      <protection locked="0"/>
    </xf>
    <xf numFmtId="0" fontId="9" fillId="0" borderId="1" xfId="0" applyFont="1" applyBorder="1" applyAlignment="1">
      <alignment vertical="center" wrapText="1"/>
    </xf>
    <xf numFmtId="0" fontId="9" fillId="0" borderId="10" xfId="0" applyFont="1" applyBorder="1" applyAlignment="1">
      <alignment vertical="center" wrapText="1"/>
    </xf>
    <xf numFmtId="0" fontId="9" fillId="0" borderId="30" xfId="0" applyFont="1" applyBorder="1" applyAlignment="1">
      <alignment vertical="center" wrapText="1"/>
    </xf>
    <xf numFmtId="0" fontId="323" fillId="25" borderId="54" xfId="0" applyFont="1" applyFill="1" applyBorder="1" applyAlignment="1" applyProtection="1">
      <alignment horizontal="center" vertical="center" wrapText="1"/>
      <protection locked="0"/>
    </xf>
    <xf numFmtId="0" fontId="323" fillId="25" borderId="13" xfId="0" applyFont="1" applyFill="1" applyBorder="1" applyAlignment="1" applyProtection="1">
      <alignment horizontal="center" vertical="center" wrapText="1"/>
      <protection locked="0"/>
    </xf>
    <xf numFmtId="0" fontId="9" fillId="4" borderId="23" xfId="0" applyFont="1" applyFill="1" applyBorder="1" applyAlignment="1">
      <alignment horizontal="center" vertical="center" wrapText="1"/>
    </xf>
    <xf numFmtId="0" fontId="14" fillId="3" borderId="143" xfId="0" applyFont="1" applyFill="1" applyBorder="1" applyAlignment="1">
      <alignment horizontal="center" vertical="center" wrapText="1"/>
    </xf>
    <xf numFmtId="0" fontId="14" fillId="3" borderId="145" xfId="0" applyFont="1" applyFill="1" applyBorder="1" applyAlignment="1">
      <alignment horizontal="center" vertical="center" wrapText="1"/>
    </xf>
    <xf numFmtId="0" fontId="6" fillId="25" borderId="34" xfId="0" applyFont="1" applyFill="1" applyBorder="1" applyAlignment="1" applyProtection="1">
      <alignment horizontal="center" vertical="center" wrapText="1"/>
      <protection locked="0"/>
    </xf>
    <xf numFmtId="0" fontId="9" fillId="4" borderId="149" xfId="0" applyFont="1" applyFill="1" applyBorder="1" applyAlignment="1">
      <alignment horizontal="center" wrapText="1"/>
    </xf>
    <xf numFmtId="0" fontId="9" fillId="4" borderId="150" xfId="0" applyFont="1" applyFill="1" applyBorder="1" applyAlignment="1">
      <alignment horizontal="center" wrapText="1"/>
    </xf>
    <xf numFmtId="0" fontId="323" fillId="25" borderId="12" xfId="0" applyFont="1" applyFill="1" applyBorder="1" applyAlignment="1" applyProtection="1">
      <alignment horizontal="center" vertical="center" wrapText="1"/>
      <protection locked="0"/>
    </xf>
    <xf numFmtId="0" fontId="6" fillId="25" borderId="116" xfId="0" applyFont="1" applyFill="1" applyBorder="1" applyAlignment="1" applyProtection="1">
      <alignment horizontal="center" vertical="center" wrapText="1"/>
      <protection locked="0"/>
    </xf>
    <xf numFmtId="0" fontId="2" fillId="3" borderId="143" xfId="0" applyFont="1" applyFill="1" applyBorder="1" applyAlignment="1">
      <alignment horizontal="center" vertical="center" wrapText="1"/>
    </xf>
    <xf numFmtId="0" fontId="2" fillId="3" borderId="148" xfId="0" applyFont="1" applyFill="1" applyBorder="1" applyAlignment="1">
      <alignment horizontal="center" vertical="center" wrapText="1"/>
    </xf>
    <xf numFmtId="0" fontId="390" fillId="0" borderId="42" xfId="0" applyFont="1" applyBorder="1" applyAlignment="1">
      <alignment horizontal="center" vertical="center"/>
    </xf>
    <xf numFmtId="0" fontId="390" fillId="0" borderId="11" xfId="0" applyFont="1" applyBorder="1" applyAlignment="1">
      <alignment horizontal="center" vertical="center"/>
    </xf>
    <xf numFmtId="0" fontId="323" fillId="25" borderId="129" xfId="0" applyFont="1" applyFill="1" applyBorder="1" applyAlignment="1" applyProtection="1">
      <alignment horizontal="center" vertical="center" wrapText="1"/>
      <protection locked="0"/>
    </xf>
    <xf numFmtId="0" fontId="323" fillId="25" borderId="135" xfId="0" applyFont="1" applyFill="1" applyBorder="1" applyAlignment="1" applyProtection="1">
      <alignment horizontal="center" vertical="center" wrapText="1"/>
      <protection locked="0"/>
    </xf>
    <xf numFmtId="0" fontId="323" fillId="25" borderId="14" xfId="0" applyFont="1" applyFill="1" applyBorder="1" applyAlignment="1" applyProtection="1">
      <alignment horizontal="center" vertical="center" wrapText="1"/>
      <protection locked="0"/>
    </xf>
    <xf numFmtId="0" fontId="323" fillId="25" borderId="6" xfId="0" applyFont="1" applyFill="1" applyBorder="1" applyAlignment="1" applyProtection="1">
      <alignment horizontal="center" vertical="center" wrapText="1"/>
      <protection locked="0"/>
    </xf>
    <xf numFmtId="0" fontId="6" fillId="25" borderId="7" xfId="0" applyFont="1" applyFill="1" applyBorder="1" applyAlignment="1" applyProtection="1">
      <alignment horizontal="center" vertical="center" wrapText="1"/>
      <protection locked="0"/>
    </xf>
    <xf numFmtId="0" fontId="6" fillId="25" borderId="95" xfId="0" applyFont="1" applyFill="1" applyBorder="1" applyAlignment="1" applyProtection="1">
      <alignment horizontal="center" vertical="center" wrapText="1"/>
      <protection locked="0"/>
    </xf>
    <xf numFmtId="0" fontId="6" fillId="25" borderId="43" xfId="0" applyFont="1" applyFill="1" applyBorder="1" applyAlignment="1" applyProtection="1">
      <alignment horizontal="center" vertical="center" wrapText="1"/>
      <protection locked="0"/>
    </xf>
    <xf numFmtId="0" fontId="323" fillId="25" borderId="132" xfId="0" applyFont="1" applyFill="1" applyBorder="1" applyAlignment="1" applyProtection="1">
      <alignment horizontal="center" vertical="center" wrapText="1"/>
      <protection locked="0"/>
    </xf>
    <xf numFmtId="0" fontId="323" fillId="25" borderId="48" xfId="0" applyFont="1" applyFill="1" applyBorder="1" applyAlignment="1" applyProtection="1">
      <alignment horizontal="center" vertical="center" wrapText="1"/>
      <protection locked="0"/>
    </xf>
    <xf numFmtId="0" fontId="323" fillId="25" borderId="49" xfId="0" applyFont="1" applyFill="1" applyBorder="1" applyAlignment="1" applyProtection="1">
      <alignment horizontal="center" vertical="center" wrapText="1"/>
      <protection locked="0"/>
    </xf>
    <xf numFmtId="0" fontId="323" fillId="25" borderId="32" xfId="0" applyFont="1" applyFill="1" applyBorder="1" applyAlignment="1" applyProtection="1">
      <alignment horizontal="center" vertical="center" wrapText="1"/>
      <protection locked="0"/>
    </xf>
    <xf numFmtId="0" fontId="2" fillId="3" borderId="151" xfId="0" applyFont="1" applyFill="1" applyBorder="1" applyAlignment="1">
      <alignment horizontal="center" vertical="center" wrapText="1"/>
    </xf>
    <xf numFmtId="0" fontId="2" fillId="3" borderId="120" xfId="0" applyFont="1" applyFill="1" applyBorder="1" applyAlignment="1">
      <alignment horizontal="center" vertical="center" wrapText="1"/>
    </xf>
    <xf numFmtId="0" fontId="22" fillId="0" borderId="45" xfId="0" applyFont="1" applyBorder="1" applyAlignment="1">
      <alignment wrapText="1"/>
    </xf>
    <xf numFmtId="0" fontId="50" fillId="0" borderId="45" xfId="0" applyFont="1" applyBorder="1" applyAlignment="1">
      <alignment wrapText="1"/>
    </xf>
    <xf numFmtId="0" fontId="50" fillId="0" borderId="132" xfId="0" applyFont="1" applyBorder="1" applyAlignment="1">
      <alignment wrapText="1"/>
    </xf>
    <xf numFmtId="0" fontId="6" fillId="25" borderId="32" xfId="0" applyFont="1" applyFill="1" applyBorder="1" applyAlignment="1" applyProtection="1">
      <alignment horizontal="center" vertical="center" wrapText="1"/>
      <protection locked="0"/>
    </xf>
    <xf numFmtId="0" fontId="16" fillId="4" borderId="101" xfId="0" applyFont="1" applyFill="1" applyBorder="1" applyAlignment="1">
      <alignment horizontal="center" wrapText="1"/>
    </xf>
    <xf numFmtId="0" fontId="16" fillId="4" borderId="147" xfId="0" applyFont="1" applyFill="1" applyBorder="1" applyAlignment="1">
      <alignment horizontal="center" wrapText="1"/>
    </xf>
    <xf numFmtId="0" fontId="22" fillId="0" borderId="130" xfId="0" applyFont="1" applyBorder="1" applyAlignment="1">
      <alignment vertical="center" wrapText="1"/>
    </xf>
    <xf numFmtId="0" fontId="22" fillId="0" borderId="133" xfId="0" applyFont="1" applyBorder="1" applyAlignment="1">
      <alignment vertical="center" wrapText="1"/>
    </xf>
    <xf numFmtId="0" fontId="9" fillId="4" borderId="149" xfId="0" applyFont="1" applyFill="1" applyBorder="1" applyAlignment="1">
      <alignment horizontal="center" vertical="center" wrapText="1"/>
    </xf>
    <xf numFmtId="0" fontId="9" fillId="4" borderId="44"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0" borderId="19" xfId="0" applyFont="1" applyBorder="1" applyAlignment="1">
      <alignment vertical="center" wrapText="1"/>
    </xf>
    <xf numFmtId="0" fontId="9" fillId="0" borderId="31" xfId="0" applyFont="1" applyBorder="1" applyAlignment="1">
      <alignment vertical="center" wrapText="1"/>
    </xf>
    <xf numFmtId="0" fontId="9" fillId="0" borderId="12" xfId="0" applyFont="1" applyBorder="1" applyAlignment="1">
      <alignment vertical="center" wrapText="1"/>
    </xf>
    <xf numFmtId="0" fontId="9" fillId="0" borderId="2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6" fillId="0" borderId="12" xfId="0" applyFont="1" applyBorder="1" applyAlignment="1">
      <alignment vertical="center" wrapText="1"/>
    </xf>
    <xf numFmtId="0" fontId="16" fillId="0" borderId="1" xfId="0" applyFont="1" applyBorder="1" applyAlignment="1">
      <alignment vertical="center" wrapText="1"/>
    </xf>
    <xf numFmtId="0" fontId="16" fillId="0" borderId="10" xfId="0" applyFont="1" applyBorder="1" applyAlignment="1">
      <alignment vertical="center" wrapText="1"/>
    </xf>
    <xf numFmtId="0" fontId="16" fillId="0" borderId="30" xfId="0" applyFont="1" applyBorder="1" applyAlignment="1">
      <alignment vertical="center" wrapText="1"/>
    </xf>
    <xf numFmtId="0" fontId="6" fillId="25" borderId="42" xfId="0" applyFont="1" applyFill="1" applyBorder="1" applyAlignment="1" applyProtection="1">
      <alignment horizontal="center" vertical="center" wrapText="1"/>
      <protection locked="0"/>
    </xf>
    <xf numFmtId="0" fontId="6" fillId="25" borderId="23" xfId="0" applyFont="1" applyFill="1" applyBorder="1" applyAlignment="1" applyProtection="1">
      <alignment horizontal="center" vertical="center" wrapText="1"/>
      <protection locked="0"/>
    </xf>
    <xf numFmtId="0" fontId="9" fillId="4" borderId="146" xfId="0" applyFont="1" applyFill="1" applyBorder="1" applyAlignment="1">
      <alignment horizontal="center" wrapText="1"/>
    </xf>
    <xf numFmtId="0" fontId="9" fillId="4" borderId="102" xfId="0" applyFont="1" applyFill="1" applyBorder="1" applyAlignment="1">
      <alignment horizontal="center" wrapText="1"/>
    </xf>
    <xf numFmtId="0" fontId="6" fillId="25" borderId="4" xfId="0" applyFont="1" applyFill="1" applyBorder="1" applyAlignment="1" applyProtection="1">
      <alignment horizontal="center" vertical="center" wrapText="1"/>
      <protection locked="0"/>
    </xf>
    <xf numFmtId="0" fontId="54" fillId="0" borderId="71" xfId="0" applyFont="1" applyBorder="1" applyAlignment="1">
      <alignment horizontal="left" vertical="center" wrapText="1"/>
    </xf>
    <xf numFmtId="0" fontId="16" fillId="0" borderId="54" xfId="0" applyFont="1" applyBorder="1" applyAlignment="1">
      <alignment vertical="center" wrapText="1"/>
    </xf>
    <xf numFmtId="0" fontId="16" fillId="0" borderId="5" xfId="0" applyFont="1" applyBorder="1" applyAlignment="1">
      <alignment vertical="center" wrapText="1"/>
    </xf>
    <xf numFmtId="0" fontId="16" fillId="0" borderId="13" xfId="0" applyFont="1" applyBorder="1" applyAlignment="1">
      <alignment vertical="center" wrapText="1"/>
    </xf>
    <xf numFmtId="0" fontId="6" fillId="25" borderId="33" xfId="0" applyFont="1" applyFill="1" applyBorder="1" applyAlignment="1" applyProtection="1">
      <alignment horizontal="center" vertical="center" wrapText="1"/>
      <protection locked="0"/>
    </xf>
    <xf numFmtId="0" fontId="14" fillId="4" borderId="101" xfId="0" applyFont="1" applyFill="1" applyBorder="1" applyAlignment="1">
      <alignment vertical="center" wrapText="1"/>
    </xf>
    <xf numFmtId="0" fontId="14" fillId="4" borderId="102" xfId="0" applyFont="1" applyFill="1" applyBorder="1" applyAlignment="1">
      <alignment vertical="center" wrapText="1"/>
    </xf>
    <xf numFmtId="0" fontId="9" fillId="4" borderId="102"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8" xfId="0" applyFont="1" applyBorder="1" applyAlignment="1">
      <alignment vertical="center" wrapText="1"/>
    </xf>
    <xf numFmtId="0" fontId="9" fillId="0" borderId="11" xfId="0" applyFont="1" applyBorder="1" applyAlignment="1">
      <alignment vertical="center" wrapText="1"/>
    </xf>
    <xf numFmtId="0" fontId="6" fillId="25" borderId="44" xfId="0" applyFont="1" applyFill="1" applyBorder="1" applyAlignment="1" applyProtection="1">
      <alignment horizontal="center" vertical="center" wrapText="1"/>
      <protection locked="0"/>
    </xf>
    <xf numFmtId="0" fontId="6" fillId="25" borderId="22" xfId="0" applyFont="1" applyFill="1" applyBorder="1" applyAlignment="1" applyProtection="1">
      <alignment horizontal="center" vertical="center" wrapText="1"/>
      <protection locked="0"/>
    </xf>
    <xf numFmtId="0" fontId="390" fillId="4" borderId="140" xfId="0" applyFont="1" applyFill="1" applyBorder="1" applyAlignment="1">
      <alignment horizontal="center" wrapText="1"/>
    </xf>
    <xf numFmtId="0" fontId="390" fillId="4" borderId="110" xfId="0" applyFont="1" applyFill="1" applyBorder="1" applyAlignment="1">
      <alignment horizontal="center" wrapText="1"/>
    </xf>
    <xf numFmtId="0" fontId="9" fillId="4" borderId="147" xfId="0" applyFont="1" applyFill="1" applyBorder="1" applyAlignment="1">
      <alignment horizontal="center" wrapText="1"/>
    </xf>
    <xf numFmtId="0" fontId="65" fillId="25" borderId="40" xfId="0" applyFont="1" applyFill="1" applyBorder="1" applyAlignment="1" applyProtection="1">
      <alignment horizontal="center" vertical="center" wrapText="1"/>
      <protection locked="0"/>
    </xf>
    <xf numFmtId="0" fontId="65" fillId="25" borderId="4" xfId="0" applyFont="1" applyFill="1" applyBorder="1" applyAlignment="1" applyProtection="1">
      <alignment horizontal="center" vertical="center" wrapText="1"/>
      <protection locked="0"/>
    </xf>
    <xf numFmtId="0" fontId="6" fillId="25" borderId="107" xfId="0" applyFont="1" applyFill="1" applyBorder="1" applyAlignment="1" applyProtection="1">
      <alignment horizontal="center" vertical="center" wrapText="1"/>
      <protection locked="0"/>
    </xf>
    <xf numFmtId="0" fontId="6" fillId="25" borderId="31" xfId="0" applyFont="1" applyFill="1" applyBorder="1" applyAlignment="1" applyProtection="1">
      <alignment horizontal="center" vertical="center" wrapText="1"/>
      <protection locked="0"/>
    </xf>
    <xf numFmtId="0" fontId="6" fillId="25" borderId="11" xfId="0" applyFont="1" applyFill="1" applyBorder="1" applyAlignment="1" applyProtection="1">
      <alignment horizontal="center" vertical="center" wrapText="1"/>
      <protection locked="0"/>
    </xf>
    <xf numFmtId="0" fontId="9" fillId="0" borderId="9"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3" xfId="0" applyFont="1" applyBorder="1" applyAlignment="1">
      <alignment horizontal="center" vertical="center" wrapText="1"/>
    </xf>
    <xf numFmtId="0" fontId="22" fillId="0" borderId="70" xfId="0" applyFont="1" applyBorder="1" applyAlignment="1">
      <alignment vertical="center" wrapText="1"/>
    </xf>
    <xf numFmtId="0" fontId="22" fillId="0" borderId="71" xfId="0" applyFont="1" applyBorder="1" applyAlignment="1">
      <alignment vertical="center" wrapText="1"/>
    </xf>
    <xf numFmtId="0" fontId="22" fillId="0" borderId="156" xfId="0" applyFont="1" applyBorder="1" applyAlignment="1">
      <alignment vertical="center" wrapText="1"/>
    </xf>
    <xf numFmtId="0" fontId="3" fillId="4" borderId="149" xfId="0" applyFont="1" applyFill="1" applyBorder="1" applyAlignment="1">
      <alignment horizontal="center" vertical="center" wrapText="1"/>
    </xf>
    <xf numFmtId="0" fontId="3" fillId="4" borderId="147" xfId="0" applyFont="1" applyFill="1" applyBorder="1" applyAlignment="1">
      <alignment horizontal="center" vertical="center" wrapText="1"/>
    </xf>
    <xf numFmtId="0" fontId="9" fillId="4" borderId="33" xfId="0" applyFont="1" applyFill="1" applyBorder="1" applyAlignment="1">
      <alignment horizontal="center" vertical="center" wrapText="1"/>
    </xf>
    <xf numFmtId="0" fontId="9" fillId="0" borderId="132"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129" xfId="0" applyFont="1" applyBorder="1" applyAlignment="1">
      <alignment horizontal="center" vertical="center"/>
    </xf>
    <xf numFmtId="0" fontId="9" fillId="0" borderId="45" xfId="0" applyFont="1" applyBorder="1" applyAlignment="1">
      <alignment horizontal="center" vertical="center"/>
    </xf>
    <xf numFmtId="0" fontId="9" fillId="0" borderId="92" xfId="0" applyFont="1" applyBorder="1" applyAlignment="1">
      <alignment horizontal="center" vertical="center"/>
    </xf>
    <xf numFmtId="0" fontId="37" fillId="3" borderId="119" xfId="0" applyFont="1" applyFill="1" applyBorder="1" applyAlignment="1">
      <alignment vertical="center" wrapText="1"/>
    </xf>
    <xf numFmtId="0" fontId="37" fillId="3" borderId="145" xfId="0" applyFont="1" applyFill="1" applyBorder="1" applyAlignment="1">
      <alignment vertical="center" wrapText="1"/>
    </xf>
    <xf numFmtId="0" fontId="50" fillId="0" borderId="57" xfId="0" applyFont="1" applyBorder="1" applyAlignment="1">
      <alignment vertical="center" wrapText="1"/>
    </xf>
    <xf numFmtId="0" fontId="50" fillId="0" borderId="67" xfId="0" applyFont="1" applyBorder="1" applyAlignment="1">
      <alignment vertical="center" wrapText="1"/>
    </xf>
    <xf numFmtId="0" fontId="9" fillId="0" borderId="9" xfId="0" applyFont="1" applyBorder="1" applyAlignment="1">
      <alignment horizontal="center" vertical="center"/>
    </xf>
    <xf numFmtId="0" fontId="9" fillId="0" borderId="23" xfId="0" applyFont="1" applyBorder="1" applyAlignment="1">
      <alignment horizontal="center" vertical="center"/>
    </xf>
    <xf numFmtId="0" fontId="6" fillId="25" borderId="5" xfId="0" applyFont="1" applyFill="1" applyBorder="1" applyAlignment="1" applyProtection="1">
      <alignment horizontal="center" vertical="center" wrapText="1"/>
      <protection locked="0"/>
    </xf>
    <xf numFmtId="0" fontId="6" fillId="25" borderId="3" xfId="0" applyFont="1" applyFill="1" applyBorder="1" applyAlignment="1" applyProtection="1">
      <alignment horizontal="center" vertical="center" wrapText="1"/>
      <protection locked="0"/>
    </xf>
    <xf numFmtId="0" fontId="16" fillId="4" borderId="102" xfId="0" applyFont="1" applyFill="1" applyBorder="1" applyAlignment="1">
      <alignment horizontal="center" wrapText="1"/>
    </xf>
    <xf numFmtId="0" fontId="33" fillId="4" borderId="43" xfId="0" applyFont="1" applyFill="1" applyBorder="1" applyAlignment="1">
      <alignment horizontal="center" vertical="center"/>
    </xf>
    <xf numFmtId="0" fontId="33" fillId="4" borderId="18" xfId="0" applyFont="1" applyFill="1" applyBorder="1" applyAlignment="1">
      <alignment horizontal="center" vertical="center"/>
    </xf>
    <xf numFmtId="0" fontId="6" fillId="25" borderId="155" xfId="0" applyFont="1" applyFill="1" applyBorder="1" applyAlignment="1" applyProtection="1">
      <alignment horizontal="center" vertical="center" wrapText="1"/>
      <protection locked="0"/>
    </xf>
    <xf numFmtId="0" fontId="6" fillId="25" borderId="126" xfId="0" applyFont="1" applyFill="1" applyBorder="1" applyAlignment="1" applyProtection="1">
      <alignment horizontal="center" vertical="center" wrapText="1"/>
      <protection locked="0"/>
    </xf>
    <xf numFmtId="0" fontId="2" fillId="4" borderId="24" xfId="0" applyFont="1" applyFill="1" applyBorder="1" applyAlignment="1">
      <alignment vertical="center" wrapText="1"/>
    </xf>
    <xf numFmtId="0" fontId="2" fillId="4" borderId="22" xfId="0" applyFont="1" applyFill="1" applyBorder="1" applyAlignment="1">
      <alignment vertical="center" wrapText="1"/>
    </xf>
    <xf numFmtId="0" fontId="16" fillId="0" borderId="129" xfId="0" applyFont="1" applyBorder="1" applyAlignment="1">
      <alignment horizontal="center" vertical="center" wrapText="1"/>
    </xf>
    <xf numFmtId="0" fontId="16" fillId="0" borderId="135"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89" xfId="0" applyFont="1" applyBorder="1" applyAlignment="1">
      <alignment horizontal="center" vertical="center" wrapText="1"/>
    </xf>
    <xf numFmtId="0" fontId="16" fillId="0" borderId="144" xfId="0" applyFont="1" applyBorder="1" applyAlignment="1">
      <alignment horizontal="center" vertical="center" wrapText="1"/>
    </xf>
    <xf numFmtId="0" fontId="16" fillId="4" borderId="24" xfId="0" applyFont="1" applyFill="1" applyBorder="1" applyAlignment="1">
      <alignment horizontal="center" vertical="center" wrapText="1"/>
    </xf>
    <xf numFmtId="0" fontId="16" fillId="4" borderId="35" xfId="0" applyFont="1" applyFill="1" applyBorder="1" applyAlignment="1">
      <alignment horizontal="center" vertical="center" wrapText="1"/>
    </xf>
    <xf numFmtId="0" fontId="9" fillId="4" borderId="43" xfId="0" applyFont="1" applyFill="1" applyBorder="1" applyAlignment="1">
      <alignment horizontal="center" vertical="center"/>
    </xf>
    <xf numFmtId="0" fontId="9" fillId="4" borderId="32" xfId="0" applyFont="1" applyFill="1" applyBorder="1" applyAlignment="1">
      <alignment horizontal="center" vertical="center"/>
    </xf>
    <xf numFmtId="0" fontId="16" fillId="4" borderId="25" xfId="0" applyFont="1" applyFill="1" applyBorder="1" applyAlignment="1">
      <alignment horizontal="center" vertical="center" wrapText="1"/>
    </xf>
    <xf numFmtId="0" fontId="14" fillId="4" borderId="24" xfId="0" applyFont="1" applyFill="1" applyBorder="1" applyAlignment="1">
      <alignment vertical="center" wrapText="1"/>
    </xf>
    <xf numFmtId="0" fontId="14" fillId="4" borderId="22" xfId="0" applyFont="1" applyFill="1" applyBorder="1" applyAlignment="1">
      <alignment vertical="center" wrapText="1"/>
    </xf>
    <xf numFmtId="0" fontId="16" fillId="0" borderId="19" xfId="0" applyFont="1" applyBorder="1" applyAlignment="1">
      <alignment vertical="center" wrapText="1"/>
    </xf>
    <xf numFmtId="0" fontId="16" fillId="0" borderId="31" xfId="0" applyFont="1" applyBorder="1" applyAlignment="1">
      <alignment vertical="center" wrapText="1"/>
    </xf>
    <xf numFmtId="0" fontId="16" fillId="0" borderId="21" xfId="0" applyFont="1" applyBorder="1" applyAlignment="1">
      <alignment vertical="center" wrapText="1"/>
    </xf>
    <xf numFmtId="0" fontId="16" fillId="0" borderId="93" xfId="0" applyFont="1" applyBorder="1" applyAlignment="1">
      <alignment vertical="center" wrapText="1"/>
    </xf>
    <xf numFmtId="0" fontId="9" fillId="4" borderId="22" xfId="0" applyFont="1" applyFill="1" applyBorder="1" applyAlignment="1">
      <alignment horizontal="center" vertical="center" wrapText="1"/>
    </xf>
    <xf numFmtId="0" fontId="75" fillId="25" borderId="54" xfId="0" applyFont="1" applyFill="1" applyBorder="1" applyAlignment="1" applyProtection="1">
      <alignment horizontal="center" vertical="center" wrapText="1"/>
      <protection locked="0"/>
    </xf>
    <xf numFmtId="0" fontId="75" fillId="25" borderId="12" xfId="0" applyFont="1" applyFill="1" applyBorder="1" applyAlignment="1" applyProtection="1">
      <alignment horizontal="center" vertical="center" wrapText="1"/>
      <protection locked="0"/>
    </xf>
    <xf numFmtId="0" fontId="2" fillId="4" borderId="101" xfId="0" applyFont="1" applyFill="1" applyBorder="1" applyAlignment="1">
      <alignment vertical="center" wrapText="1"/>
    </xf>
    <xf numFmtId="0" fontId="9" fillId="0" borderId="54" xfId="0" applyFont="1" applyBorder="1" applyAlignment="1">
      <alignment vertical="center" wrapText="1"/>
    </xf>
    <xf numFmtId="0" fontId="9" fillId="0" borderId="5" xfId="0" applyFont="1" applyBorder="1" applyAlignment="1">
      <alignment vertical="center" wrapText="1"/>
    </xf>
    <xf numFmtId="0" fontId="9" fillId="0" borderId="115" xfId="0" applyFont="1" applyBorder="1" applyAlignment="1">
      <alignment vertical="center" wrapText="1"/>
    </xf>
    <xf numFmtId="0" fontId="9" fillId="0" borderId="79" xfId="0" applyFont="1" applyBorder="1" applyAlignment="1">
      <alignment vertical="center" wrapText="1"/>
    </xf>
    <xf numFmtId="0" fontId="16" fillId="0" borderId="42" xfId="0" applyFont="1" applyBorder="1" applyAlignment="1">
      <alignment vertical="center" wrapText="1"/>
    </xf>
    <xf numFmtId="0" fontId="16" fillId="0" borderId="8" xfId="0" applyFont="1" applyBorder="1" applyAlignment="1">
      <alignment vertical="center" wrapText="1"/>
    </xf>
    <xf numFmtId="0" fontId="16" fillId="0" borderId="40" xfId="0" applyFont="1" applyBorder="1" applyAlignment="1">
      <alignment vertical="center" wrapText="1"/>
    </xf>
    <xf numFmtId="0" fontId="16" fillId="0" borderId="3" xfId="0" applyFont="1" applyBorder="1" applyAlignment="1">
      <alignment vertical="center" wrapText="1"/>
    </xf>
    <xf numFmtId="0" fontId="9" fillId="0" borderId="40" xfId="0" applyFont="1" applyBorder="1" applyAlignment="1">
      <alignment vertical="center" wrapText="1"/>
    </xf>
    <xf numFmtId="0" fontId="9" fillId="0" borderId="3" xfId="0" applyFont="1" applyBorder="1" applyAlignment="1">
      <alignment vertical="center" wrapText="1"/>
    </xf>
    <xf numFmtId="0" fontId="2" fillId="4" borderId="102" xfId="0" applyFont="1" applyFill="1" applyBorder="1" applyAlignment="1">
      <alignment vertical="center" wrapText="1"/>
    </xf>
    <xf numFmtId="0" fontId="68" fillId="0" borderId="68" xfId="1" applyFont="1" applyBorder="1" applyAlignment="1" applyProtection="1">
      <alignment horizontal="center" vertical="center"/>
    </xf>
    <xf numFmtId="0" fontId="68" fillId="0" borderId="63" xfId="1" applyFont="1" applyBorder="1" applyAlignment="1" applyProtection="1">
      <alignment horizontal="center" vertical="center"/>
    </xf>
    <xf numFmtId="0" fontId="68" fillId="0" borderId="69" xfId="1" applyFont="1" applyBorder="1" applyAlignment="1" applyProtection="1">
      <alignment horizontal="center" vertical="center"/>
    </xf>
    <xf numFmtId="0" fontId="16" fillId="0" borderId="135" xfId="0" applyFont="1" applyBorder="1" applyAlignment="1">
      <alignment horizontal="right" vertical="center" wrapText="1"/>
    </xf>
    <xf numFmtId="0" fontId="16" fillId="0" borderId="6" xfId="0" applyFont="1" applyBorder="1" applyAlignment="1">
      <alignment horizontal="right" vertical="center" wrapText="1"/>
    </xf>
    <xf numFmtId="0" fontId="16" fillId="0" borderId="124" xfId="0" applyFont="1" applyBorder="1" applyAlignment="1">
      <alignment vertical="center" wrapText="1"/>
    </xf>
    <xf numFmtId="0" fontId="16" fillId="0" borderId="43" xfId="0" applyFont="1" applyBorder="1" applyAlignment="1">
      <alignment vertical="center" wrapText="1"/>
    </xf>
    <xf numFmtId="0" fontId="2" fillId="4" borderId="24"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51" fillId="0" borderId="57" xfId="0" applyFont="1" applyBorder="1" applyAlignment="1">
      <alignment vertical="center" wrapText="1"/>
    </xf>
    <xf numFmtId="0" fontId="51" fillId="0" borderId="67" xfId="0" applyFont="1" applyBorder="1" applyAlignment="1">
      <alignment vertical="center" wrapText="1"/>
    </xf>
    <xf numFmtId="0" fontId="13" fillId="3" borderId="153" xfId="0" applyFont="1" applyFill="1" applyBorder="1" applyAlignment="1">
      <alignment horizontal="center" vertical="center" wrapText="1"/>
    </xf>
    <xf numFmtId="0" fontId="13" fillId="3" borderId="161" xfId="0" applyFont="1" applyFill="1" applyBorder="1" applyAlignment="1">
      <alignment horizontal="center" vertical="center" wrapText="1"/>
    </xf>
    <xf numFmtId="0" fontId="16" fillId="4" borderId="149" xfId="0" applyFont="1" applyFill="1" applyBorder="1" applyAlignment="1">
      <alignment horizontal="center" vertical="center" wrapText="1"/>
    </xf>
    <xf numFmtId="0" fontId="16" fillId="4" borderId="150" xfId="0" applyFont="1" applyFill="1" applyBorder="1" applyAlignment="1">
      <alignment horizontal="center" vertical="center" wrapText="1"/>
    </xf>
    <xf numFmtId="0" fontId="9" fillId="0" borderId="27" xfId="0" applyFont="1" applyBorder="1" applyAlignment="1">
      <alignment horizontal="center" vertical="center" wrapText="1"/>
    </xf>
    <xf numFmtId="0" fontId="9" fillId="0" borderId="9" xfId="0" applyFont="1" applyBorder="1" applyAlignment="1">
      <alignment vertical="center" wrapText="1"/>
    </xf>
    <xf numFmtId="0" fontId="9" fillId="0" borderId="23" xfId="0" applyFont="1" applyBorder="1" applyAlignment="1">
      <alignment vertical="center" wrapText="1"/>
    </xf>
    <xf numFmtId="0" fontId="106" fillId="0" borderId="42" xfId="0" applyFont="1" applyBorder="1" applyAlignment="1">
      <alignment vertical="center" wrapText="1"/>
    </xf>
    <xf numFmtId="0" fontId="106" fillId="0" borderId="11" xfId="0" applyFont="1" applyBorder="1" applyAlignment="1">
      <alignment vertical="center" wrapText="1"/>
    </xf>
    <xf numFmtId="0" fontId="0" fillId="0" borderId="68" xfId="0" applyBorder="1" applyAlignment="1">
      <alignment horizontal="center" vertical="center"/>
    </xf>
    <xf numFmtId="0" fontId="0" fillId="0" borderId="63" xfId="0" applyBorder="1" applyAlignment="1">
      <alignment horizontal="center" vertical="center"/>
    </xf>
    <xf numFmtId="0" fontId="0" fillId="0" borderId="69" xfId="0" applyBorder="1" applyAlignment="1">
      <alignment horizontal="center" vertical="center"/>
    </xf>
    <xf numFmtId="0" fontId="16" fillId="0" borderId="95" xfId="0" applyFont="1" applyBorder="1" applyAlignment="1">
      <alignment vertical="center" wrapText="1"/>
    </xf>
    <xf numFmtId="0" fontId="9" fillId="0" borderId="118" xfId="0" applyFont="1" applyBorder="1" applyAlignment="1">
      <alignment horizontal="left" vertical="center" wrapText="1"/>
    </xf>
    <xf numFmtId="0" fontId="9" fillId="0" borderId="122" xfId="0" applyFont="1" applyBorder="1" applyAlignment="1">
      <alignment horizontal="left" vertical="center" wrapText="1"/>
    </xf>
    <xf numFmtId="1" fontId="75" fillId="25" borderId="10" xfId="0" applyNumberFormat="1" applyFont="1" applyFill="1" applyBorder="1" applyAlignment="1" applyProtection="1">
      <alignment horizontal="center" vertical="center" wrapText="1"/>
      <protection locked="0"/>
    </xf>
    <xf numFmtId="1" fontId="75" fillId="25" borderId="12" xfId="0" applyNumberFormat="1" applyFont="1" applyFill="1" applyBorder="1" applyAlignment="1" applyProtection="1">
      <alignment horizontal="center" vertical="center" wrapText="1"/>
      <protection locked="0"/>
    </xf>
    <xf numFmtId="0" fontId="16" fillId="0" borderId="116" xfId="0" applyFont="1" applyBorder="1" applyAlignment="1">
      <alignment vertical="center" wrapText="1"/>
    </xf>
    <xf numFmtId="0" fontId="16" fillId="0" borderId="44" xfId="0" applyFont="1" applyBorder="1" applyAlignment="1">
      <alignment vertical="center" wrapText="1"/>
    </xf>
    <xf numFmtId="0" fontId="16" fillId="0" borderId="25" xfId="0" applyFont="1" applyBorder="1" applyAlignment="1">
      <alignment vertical="center" wrapText="1"/>
    </xf>
    <xf numFmtId="0" fontId="16" fillId="4" borderId="9" xfId="0" applyFont="1" applyFill="1" applyBorder="1" applyAlignment="1">
      <alignment horizontal="center" vertical="center" wrapText="1"/>
    </xf>
    <xf numFmtId="0" fontId="16" fillId="4" borderId="33" xfId="0" applyFont="1" applyFill="1" applyBorder="1" applyAlignment="1">
      <alignment horizontal="center" vertical="center" wrapText="1"/>
    </xf>
    <xf numFmtId="0" fontId="75" fillId="25" borderId="40" xfId="0" applyFont="1" applyFill="1" applyBorder="1" applyAlignment="1" applyProtection="1">
      <alignment horizontal="center" vertical="center" wrapText="1"/>
      <protection locked="0"/>
    </xf>
    <xf numFmtId="0" fontId="75" fillId="25" borderId="3" xfId="0" applyFont="1" applyFill="1" applyBorder="1" applyAlignment="1" applyProtection="1">
      <alignment horizontal="center" vertical="center" wrapText="1"/>
      <protection locked="0"/>
    </xf>
    <xf numFmtId="0" fontId="2" fillId="4" borderId="25" xfId="0" applyFont="1" applyFill="1" applyBorder="1" applyAlignment="1">
      <alignment vertical="center" wrapText="1"/>
    </xf>
    <xf numFmtId="0" fontId="75" fillId="25" borderId="5" xfId="0" applyFont="1" applyFill="1" applyBorder="1" applyAlignment="1" applyProtection="1">
      <alignment horizontal="center" vertical="center" wrapText="1"/>
      <protection locked="0"/>
    </xf>
    <xf numFmtId="0" fontId="56" fillId="0" borderId="61" xfId="0" applyFont="1" applyBorder="1" applyAlignment="1">
      <alignment vertical="center" wrapText="1"/>
    </xf>
    <xf numFmtId="0" fontId="56" fillId="0" borderId="111" xfId="0" applyFont="1" applyBorder="1" applyAlignment="1">
      <alignment vertical="center" wrapText="1"/>
    </xf>
    <xf numFmtId="0" fontId="56" fillId="0" borderId="114" xfId="0" applyFont="1" applyBorder="1" applyAlignment="1">
      <alignment vertical="center" wrapText="1"/>
    </xf>
    <xf numFmtId="0" fontId="56" fillId="0" borderId="14" xfId="0" applyFont="1" applyBorder="1" applyAlignment="1">
      <alignment vertical="center" wrapText="1"/>
    </xf>
    <xf numFmtId="0" fontId="56" fillId="0" borderId="16" xfId="0" applyFont="1" applyBorder="1" applyAlignment="1">
      <alignment vertical="center" wrapText="1"/>
    </xf>
    <xf numFmtId="0" fontId="56" fillId="0" borderId="32" xfId="0" applyFont="1" applyBorder="1" applyAlignment="1">
      <alignment vertical="center" wrapText="1"/>
    </xf>
    <xf numFmtId="0" fontId="16" fillId="4" borderId="44"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75" fillId="25" borderId="21" xfId="0" applyFont="1" applyFill="1" applyBorder="1" applyAlignment="1" applyProtection="1">
      <alignment horizontal="center" vertical="center" wrapText="1"/>
      <protection locked="0"/>
    </xf>
    <xf numFmtId="0" fontId="75" fillId="25" borderId="19" xfId="0" applyFont="1" applyFill="1" applyBorder="1" applyAlignment="1" applyProtection="1">
      <alignment horizontal="center" vertical="center" wrapText="1"/>
      <protection locked="0"/>
    </xf>
    <xf numFmtId="0" fontId="9" fillId="4" borderId="149" xfId="0" applyFont="1" applyFill="1" applyBorder="1" applyAlignment="1">
      <alignment horizontal="center" vertical="center"/>
    </xf>
    <xf numFmtId="0" fontId="33" fillId="4" borderId="147" xfId="0" applyFont="1" applyFill="1" applyBorder="1" applyAlignment="1">
      <alignment horizontal="center" vertical="center"/>
    </xf>
    <xf numFmtId="0" fontId="361" fillId="25" borderId="54" xfId="0" applyFont="1" applyFill="1" applyBorder="1" applyAlignment="1" applyProtection="1">
      <alignment horizontal="center" vertical="center" wrapText="1"/>
      <protection locked="0"/>
    </xf>
    <xf numFmtId="190" fontId="77" fillId="0" borderId="10" xfId="0" applyNumberFormat="1" applyFont="1" applyBorder="1" applyAlignment="1">
      <alignment horizontal="center" vertical="center" wrapText="1"/>
    </xf>
    <xf numFmtId="190" fontId="77" fillId="0" borderId="34" xfId="0" applyNumberFormat="1" applyFont="1" applyBorder="1" applyAlignment="1">
      <alignment horizontal="center" vertical="center" wrapText="1"/>
    </xf>
    <xf numFmtId="0" fontId="16" fillId="0" borderId="116" xfId="0" applyFont="1" applyBorder="1" applyAlignment="1">
      <alignment horizontal="right" vertical="center" wrapText="1"/>
    </xf>
    <xf numFmtId="0" fontId="54" fillId="0" borderId="130" xfId="0" applyFont="1" applyBorder="1" applyAlignment="1">
      <alignment vertical="center" wrapText="1"/>
    </xf>
    <xf numFmtId="0" fontId="54" fillId="0" borderId="133" xfId="0" applyFont="1" applyBorder="1" applyAlignment="1">
      <alignment vertical="center" wrapText="1"/>
    </xf>
    <xf numFmtId="0" fontId="383" fillId="25" borderId="54" xfId="0" applyFont="1" applyFill="1" applyBorder="1" applyAlignment="1" applyProtection="1">
      <alignment horizontal="center" vertical="center"/>
      <protection locked="0"/>
    </xf>
    <xf numFmtId="0" fontId="383" fillId="25" borderId="12" xfId="0" applyFont="1" applyFill="1" applyBorder="1" applyAlignment="1" applyProtection="1">
      <alignment horizontal="center" vertical="center"/>
      <protection locked="0"/>
    </xf>
    <xf numFmtId="0" fontId="361" fillId="25" borderId="90" xfId="0" applyFont="1" applyFill="1" applyBorder="1" applyAlignment="1" applyProtection="1">
      <alignment horizontal="center" vertical="center" wrapText="1"/>
      <protection locked="0"/>
    </xf>
    <xf numFmtId="0" fontId="361" fillId="25" borderId="53" xfId="0" applyFont="1" applyFill="1" applyBorder="1" applyAlignment="1" applyProtection="1">
      <alignment horizontal="center" vertical="center" wrapText="1"/>
      <protection locked="0"/>
    </xf>
    <xf numFmtId="0" fontId="56" fillId="0" borderId="21" xfId="0" applyFont="1" applyBorder="1" applyAlignment="1">
      <alignment vertical="center" wrapText="1"/>
    </xf>
    <xf numFmtId="0" fontId="56" fillId="0" borderId="3" xfId="0" applyFont="1" applyBorder="1" applyAlignment="1">
      <alignment vertical="center" wrapText="1"/>
    </xf>
    <xf numFmtId="0" fontId="56" fillId="0" borderId="36" xfId="0" applyFont="1" applyBorder="1" applyAlignment="1">
      <alignment vertical="center" wrapText="1"/>
    </xf>
    <xf numFmtId="0" fontId="49" fillId="0" borderId="38" xfId="0" applyFont="1" applyBorder="1" applyAlignment="1">
      <alignment vertical="center"/>
    </xf>
    <xf numFmtId="0" fontId="49" fillId="0" borderId="65" xfId="0" applyFont="1" applyBorder="1" applyAlignment="1">
      <alignment vertical="center"/>
    </xf>
    <xf numFmtId="0" fontId="49" fillId="0" borderId="121" xfId="0" applyFont="1" applyBorder="1" applyAlignment="1">
      <alignment vertical="center"/>
    </xf>
    <xf numFmtId="172" fontId="361" fillId="25" borderId="38" xfId="0" applyNumberFormat="1" applyFont="1" applyFill="1" applyBorder="1" applyAlignment="1" applyProtection="1">
      <alignment horizontal="center" vertical="center" wrapText="1"/>
      <protection locked="0"/>
    </xf>
    <xf numFmtId="172" fontId="361" fillId="25" borderId="121" xfId="0" applyNumberFormat="1" applyFont="1" applyFill="1" applyBorder="1" applyAlignment="1" applyProtection="1">
      <alignment horizontal="center" vertical="center" wrapText="1"/>
      <protection locked="0"/>
    </xf>
    <xf numFmtId="172" fontId="77" fillId="0" borderId="10" xfId="0" applyNumberFormat="1" applyFont="1" applyBorder="1" applyAlignment="1">
      <alignment horizontal="center" vertical="center" wrapText="1"/>
    </xf>
    <xf numFmtId="172" fontId="77" fillId="0" borderId="34" xfId="0" applyNumberFormat="1" applyFont="1" applyBorder="1" applyAlignment="1">
      <alignment horizontal="center" vertical="center" wrapText="1"/>
    </xf>
    <xf numFmtId="0" fontId="16" fillId="4" borderId="42"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3" fillId="3" borderId="119" xfId="0" applyFont="1" applyFill="1" applyBorder="1" applyAlignment="1">
      <alignment vertical="center"/>
    </xf>
    <xf numFmtId="0" fontId="13" fillId="3" borderId="145" xfId="0" applyFont="1" applyFill="1" applyBorder="1" applyAlignment="1">
      <alignment vertical="center"/>
    </xf>
    <xf numFmtId="190" fontId="354" fillId="0" borderId="10" xfId="0" applyNumberFormat="1" applyFont="1" applyBorder="1" applyAlignment="1">
      <alignment horizontal="center" vertical="center" wrapText="1"/>
    </xf>
    <xf numFmtId="190" fontId="354" fillId="0" borderId="34" xfId="0" applyNumberFormat="1" applyFont="1" applyBorder="1" applyAlignment="1">
      <alignment horizontal="center" vertical="center" wrapText="1"/>
    </xf>
    <xf numFmtId="0" fontId="9" fillId="0" borderId="12" xfId="0" applyFont="1" applyBorder="1" applyAlignment="1">
      <alignment horizontal="center" vertical="center" wrapText="1"/>
    </xf>
    <xf numFmtId="0" fontId="9" fillId="0" borderId="116" xfId="0" applyFont="1" applyBorder="1" applyAlignment="1">
      <alignment horizontal="center" vertical="center" wrapText="1"/>
    </xf>
    <xf numFmtId="0" fontId="9" fillId="0" borderId="53" xfId="0" applyFont="1" applyBorder="1" applyAlignment="1">
      <alignment horizontal="center" vertical="center" wrapText="1"/>
    </xf>
    <xf numFmtId="0" fontId="2" fillId="3" borderId="119"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35" xfId="0" applyFont="1" applyFill="1" applyBorder="1" applyAlignment="1">
      <alignment horizontal="center" vertical="center" wrapText="1"/>
    </xf>
    <xf numFmtId="0" fontId="16" fillId="0" borderId="137" xfId="0" applyFont="1" applyBorder="1" applyAlignment="1">
      <alignment vertical="center" wrapText="1"/>
    </xf>
    <xf numFmtId="0" fontId="16" fillId="0" borderId="2" xfId="0" applyFont="1" applyBorder="1" applyAlignment="1">
      <alignment vertical="center" wrapText="1"/>
    </xf>
    <xf numFmtId="0" fontId="361" fillId="25" borderId="43" xfId="0" applyFont="1" applyFill="1" applyBorder="1" applyAlignment="1" applyProtection="1">
      <alignment horizontal="center" vertical="center" wrapText="1"/>
      <protection locked="0"/>
    </xf>
    <xf numFmtId="0" fontId="361" fillId="25" borderId="6" xfId="0" applyFont="1" applyFill="1" applyBorder="1" applyAlignment="1" applyProtection="1">
      <alignment horizontal="center" vertical="center" wrapText="1"/>
      <protection locked="0"/>
    </xf>
    <xf numFmtId="0" fontId="9" fillId="0" borderId="4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35" xfId="0" applyFont="1" applyBorder="1" applyAlignment="1">
      <alignment horizontal="center" vertical="center"/>
    </xf>
    <xf numFmtId="0" fontId="9" fillId="0" borderId="48" xfId="0" applyFont="1" applyBorder="1" applyAlignment="1">
      <alignment horizontal="center" vertical="center"/>
    </xf>
    <xf numFmtId="0" fontId="9" fillId="0" borderId="46" xfId="0" applyFont="1" applyBorder="1" applyAlignment="1">
      <alignment horizontal="center" vertical="center"/>
    </xf>
    <xf numFmtId="0" fontId="9" fillId="0" borderId="139" xfId="0" applyFont="1" applyBorder="1" applyAlignment="1">
      <alignment horizontal="center" vertical="center"/>
    </xf>
    <xf numFmtId="0" fontId="9" fillId="0" borderId="138" xfId="0" applyFont="1" applyBorder="1" applyAlignment="1">
      <alignment horizontal="center" vertical="center"/>
    </xf>
    <xf numFmtId="0" fontId="9" fillId="8" borderId="45" xfId="0" applyFont="1" applyFill="1" applyBorder="1" applyAlignment="1">
      <alignment vertical="center" wrapText="1"/>
    </xf>
    <xf numFmtId="0" fontId="9" fillId="8" borderId="92" xfId="0" applyFont="1" applyFill="1" applyBorder="1" applyAlignment="1">
      <alignment vertical="center" wrapText="1"/>
    </xf>
    <xf numFmtId="0" fontId="9" fillId="8" borderId="0" xfId="0" applyFont="1" applyFill="1" applyAlignment="1">
      <alignment vertical="center" wrapText="1"/>
    </xf>
    <xf numFmtId="0" fontId="9" fillId="8" borderId="28" xfId="0" applyFont="1" applyFill="1" applyBorder="1" applyAlignment="1">
      <alignment vertical="center" wrapText="1"/>
    </xf>
    <xf numFmtId="0" fontId="9" fillId="8" borderId="24" xfId="0" applyFont="1" applyFill="1" applyBorder="1" applyAlignment="1">
      <alignment vertical="center" wrapText="1"/>
    </xf>
    <xf numFmtId="0" fontId="9" fillId="8" borderId="22" xfId="0" applyFont="1" applyFill="1" applyBorder="1" applyAlignment="1">
      <alignment vertical="center" wrapText="1"/>
    </xf>
    <xf numFmtId="0" fontId="2" fillId="0" borderId="0" xfId="0" applyFont="1" applyAlignment="1">
      <alignment horizontal="left" vertical="center"/>
    </xf>
    <xf numFmtId="0" fontId="3" fillId="8" borderId="15" xfId="0" applyFont="1" applyFill="1" applyBorder="1" applyAlignment="1">
      <alignment horizontal="center" vertical="center"/>
    </xf>
    <xf numFmtId="0" fontId="3" fillId="8" borderId="17" xfId="0" applyFont="1" applyFill="1" applyBorder="1" applyAlignment="1">
      <alignment horizontal="center" vertical="center"/>
    </xf>
    <xf numFmtId="0" fontId="3" fillId="8" borderId="37" xfId="0" applyFont="1" applyFill="1" applyBorder="1" applyAlignment="1">
      <alignment horizontal="center" vertical="center"/>
    </xf>
    <xf numFmtId="0" fontId="9" fillId="4" borderId="35" xfId="0" applyFont="1" applyFill="1" applyBorder="1" applyAlignment="1">
      <alignment horizontal="center" vertical="center" wrapText="1"/>
    </xf>
    <xf numFmtId="165" fontId="77" fillId="0" borderId="10" xfId="0" applyNumberFormat="1" applyFont="1" applyBorder="1" applyAlignment="1">
      <alignment horizontal="center" vertical="center" wrapText="1"/>
    </xf>
    <xf numFmtId="165" fontId="77" fillId="0" borderId="34" xfId="0" applyNumberFormat="1" applyFont="1" applyBorder="1" applyAlignment="1">
      <alignment horizontal="center" vertical="center" wrapText="1"/>
    </xf>
    <xf numFmtId="0" fontId="49" fillId="0" borderId="61" xfId="0" applyFont="1" applyBorder="1" applyAlignment="1">
      <alignment horizontal="left" vertical="center" wrapText="1"/>
    </xf>
    <xf numFmtId="0" fontId="49" fillId="0" borderId="111" xfId="0" applyFont="1" applyBorder="1" applyAlignment="1">
      <alignment horizontal="left" vertical="center" wrapText="1"/>
    </xf>
    <xf numFmtId="0" fontId="49" fillId="0" borderId="114" xfId="0" applyFont="1" applyBorder="1" applyAlignment="1">
      <alignment horizontal="left" vertical="center" wrapText="1"/>
    </xf>
    <xf numFmtId="0" fontId="49" fillId="0" borderId="14" xfId="0" applyFont="1" applyBorder="1" applyAlignment="1">
      <alignment horizontal="left" vertical="center" wrapText="1"/>
    </xf>
    <xf numFmtId="0" fontId="49" fillId="0" borderId="16" xfId="0" applyFont="1" applyBorder="1" applyAlignment="1">
      <alignment horizontal="left" vertical="center" wrapText="1"/>
    </xf>
    <xf numFmtId="0" fontId="49" fillId="0" borderId="32" xfId="0" applyFont="1" applyBorder="1" applyAlignment="1">
      <alignment horizontal="left" vertical="center" wrapText="1"/>
    </xf>
    <xf numFmtId="0" fontId="6" fillId="25" borderId="133" xfId="0" applyFont="1" applyFill="1" applyBorder="1" applyAlignment="1" applyProtection="1">
      <alignment horizontal="center" vertical="center" wrapText="1"/>
      <protection locked="0"/>
    </xf>
    <xf numFmtId="177" fontId="77" fillId="0" borderId="21" xfId="0" applyNumberFormat="1" applyFont="1" applyBorder="1" applyAlignment="1">
      <alignment horizontal="center" vertical="center" wrapText="1"/>
    </xf>
    <xf numFmtId="177" fontId="77" fillId="0" borderId="36" xfId="0" applyNumberFormat="1" applyFont="1" applyBorder="1" applyAlignment="1">
      <alignment horizontal="center" vertical="center" wrapText="1"/>
    </xf>
    <xf numFmtId="0" fontId="16" fillId="0" borderId="71" xfId="0" applyFont="1" applyBorder="1" applyAlignment="1">
      <alignment horizontal="center" vertical="center" wrapText="1"/>
    </xf>
    <xf numFmtId="0" fontId="16" fillId="0" borderId="134" xfId="0" applyFont="1" applyBorder="1" applyAlignment="1">
      <alignment horizontal="center" vertical="center" wrapText="1"/>
    </xf>
    <xf numFmtId="0" fontId="16" fillId="0" borderId="132"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25" xfId="0" applyFont="1" applyBorder="1" applyAlignment="1">
      <alignment horizontal="center" vertical="center" wrapText="1"/>
    </xf>
    <xf numFmtId="2" fontId="77" fillId="0" borderId="9" xfId="0" applyNumberFormat="1" applyFont="1" applyBorder="1" applyAlignment="1">
      <alignment horizontal="center" vertical="center" wrapText="1"/>
    </xf>
    <xf numFmtId="2" fontId="77" fillId="0" borderId="33" xfId="0" applyNumberFormat="1" applyFont="1" applyBorder="1" applyAlignment="1">
      <alignment horizontal="center" vertical="center" wrapText="1"/>
    </xf>
    <xf numFmtId="0" fontId="3" fillId="0" borderId="63" xfId="0" applyFont="1" applyBorder="1" applyAlignment="1">
      <alignment horizontal="center" vertical="center" wrapText="1"/>
    </xf>
    <xf numFmtId="0" fontId="32" fillId="0" borderId="63" xfId="0" applyFont="1" applyBorder="1" applyAlignment="1">
      <alignment horizontal="center" vertical="center" wrapText="1"/>
    </xf>
    <xf numFmtId="0" fontId="9" fillId="0" borderId="92"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2" xfId="0" applyFont="1" applyBorder="1" applyAlignment="1">
      <alignment horizontal="center" vertical="center" wrapText="1"/>
    </xf>
    <xf numFmtId="0" fontId="54" fillId="0" borderId="71" xfId="0" applyFont="1" applyBorder="1" applyAlignment="1">
      <alignment vertical="center" wrapText="1"/>
    </xf>
    <xf numFmtId="0" fontId="54" fillId="0" borderId="156" xfId="0" applyFont="1" applyBorder="1" applyAlignment="1">
      <alignment vertical="center" wrapText="1"/>
    </xf>
    <xf numFmtId="0" fontId="9" fillId="0" borderId="21" xfId="0" applyFont="1" applyBorder="1" applyAlignment="1">
      <alignment vertical="center" wrapText="1"/>
    </xf>
    <xf numFmtId="0" fontId="9" fillId="0" borderId="93" xfId="0" applyFont="1" applyBorder="1" applyAlignment="1">
      <alignment vertical="center" wrapText="1"/>
    </xf>
    <xf numFmtId="0" fontId="2" fillId="4" borderId="159" xfId="0" applyFont="1" applyFill="1" applyBorder="1" applyAlignment="1">
      <alignment vertical="center" wrapText="1"/>
    </xf>
    <xf numFmtId="0" fontId="2" fillId="4" borderId="160" xfId="0" applyFont="1" applyFill="1" applyBorder="1" applyAlignment="1">
      <alignment vertical="center" wrapText="1"/>
    </xf>
    <xf numFmtId="0" fontId="65" fillId="25" borderId="36" xfId="0" applyFont="1" applyFill="1" applyBorder="1" applyAlignment="1" applyProtection="1">
      <alignment horizontal="center" vertical="center" wrapText="1"/>
      <protection locked="0"/>
    </xf>
    <xf numFmtId="0" fontId="9" fillId="0" borderId="72" xfId="0" applyFont="1" applyBorder="1" applyAlignment="1">
      <alignment vertical="center" wrapText="1"/>
    </xf>
    <xf numFmtId="0" fontId="49" fillId="4" borderId="46" xfId="0" applyFont="1" applyFill="1" applyBorder="1" applyAlignment="1">
      <alignment horizontal="center" wrapText="1"/>
    </xf>
    <xf numFmtId="0" fontId="49" fillId="4" borderId="25" xfId="0" applyFont="1" applyFill="1" applyBorder="1" applyAlignment="1">
      <alignment horizontal="center" wrapText="1"/>
    </xf>
    <xf numFmtId="0" fontId="9" fillId="0" borderId="73" xfId="0" applyFont="1" applyBorder="1" applyAlignment="1">
      <alignment vertical="center" wrapText="1"/>
    </xf>
    <xf numFmtId="0" fontId="9" fillId="0" borderId="7" xfId="0" applyFont="1" applyBorder="1" applyAlignment="1">
      <alignment vertical="center" wrapText="1"/>
    </xf>
    <xf numFmtId="0" fontId="9" fillId="0" borderId="94" xfId="0" applyFont="1" applyBorder="1" applyAlignment="1">
      <alignment vertical="center" wrapText="1"/>
    </xf>
    <xf numFmtId="0" fontId="28" fillId="4" borderId="124" xfId="0" applyFont="1" applyFill="1" applyBorder="1" applyAlignment="1">
      <alignment horizontal="center" vertical="center" wrapText="1"/>
    </xf>
    <xf numFmtId="0" fontId="28" fillId="4" borderId="45" xfId="0" applyFont="1" applyFill="1" applyBorder="1" applyAlignment="1">
      <alignment horizontal="center" vertical="center" wrapText="1"/>
    </xf>
    <xf numFmtId="0" fontId="28" fillId="4" borderId="44" xfId="0" applyFont="1" applyFill="1" applyBorder="1" applyAlignment="1">
      <alignment horizontal="center" vertical="center" wrapText="1"/>
    </xf>
    <xf numFmtId="0" fontId="28" fillId="4" borderId="24" xfId="0" applyFont="1" applyFill="1" applyBorder="1" applyAlignment="1">
      <alignment horizontal="center" vertical="center" wrapText="1"/>
    </xf>
    <xf numFmtId="0" fontId="2" fillId="4" borderId="8" xfId="0" applyFont="1" applyFill="1" applyBorder="1" applyAlignment="1">
      <alignment vertical="center" wrapText="1"/>
    </xf>
    <xf numFmtId="0" fontId="57" fillId="4" borderId="24" xfId="0" applyFont="1" applyFill="1" applyBorder="1" applyAlignment="1">
      <alignment horizontal="right" wrapText="1"/>
    </xf>
    <xf numFmtId="0" fontId="57" fillId="4" borderId="22" xfId="0" applyFont="1" applyFill="1" applyBorder="1" applyAlignment="1">
      <alignment horizontal="right" wrapText="1"/>
    </xf>
    <xf numFmtId="0" fontId="9" fillId="4" borderId="8" xfId="0" applyFont="1" applyFill="1" applyBorder="1" applyAlignment="1">
      <alignment horizontal="center" vertical="center" wrapText="1"/>
    </xf>
    <xf numFmtId="49" fontId="77" fillId="8" borderId="19" xfId="0" applyNumberFormat="1" applyFont="1" applyFill="1" applyBorder="1" applyAlignment="1">
      <alignment horizontal="center" vertical="center"/>
    </xf>
    <xf numFmtId="0" fontId="9" fillId="6" borderId="51" xfId="0" applyFont="1" applyFill="1" applyBorder="1" applyAlignment="1">
      <alignment horizontal="center" vertical="center" wrapText="1"/>
    </xf>
    <xf numFmtId="0" fontId="9" fillId="6" borderId="46" xfId="0" applyFont="1" applyFill="1" applyBorder="1" applyAlignment="1">
      <alignment horizontal="center" vertical="center" wrapText="1"/>
    </xf>
    <xf numFmtId="0" fontId="9" fillId="6" borderId="44" xfId="0" applyFont="1" applyFill="1" applyBorder="1" applyAlignment="1">
      <alignment horizontal="center" vertical="center" wrapText="1"/>
    </xf>
    <xf numFmtId="0" fontId="9" fillId="6" borderId="25" xfId="0" applyFont="1" applyFill="1" applyBorder="1" applyAlignment="1">
      <alignment horizontal="center" vertical="center" wrapText="1"/>
    </xf>
    <xf numFmtId="0" fontId="75" fillId="25" borderId="43" xfId="0" applyFont="1" applyFill="1" applyBorder="1" applyAlignment="1" applyProtection="1">
      <alignment horizontal="center" vertical="center"/>
      <protection locked="0"/>
    </xf>
    <xf numFmtId="0" fontId="75" fillId="25" borderId="6" xfId="0" applyFont="1" applyFill="1" applyBorder="1" applyAlignment="1" applyProtection="1">
      <alignment horizontal="center" vertical="center"/>
      <protection locked="0"/>
    </xf>
    <xf numFmtId="0" fontId="75" fillId="25" borderId="44" xfId="0" applyFont="1" applyFill="1" applyBorder="1" applyAlignment="1" applyProtection="1">
      <alignment horizontal="center" vertical="center"/>
      <protection locked="0"/>
    </xf>
    <xf numFmtId="0" fontId="75" fillId="25" borderId="25" xfId="0" applyFont="1" applyFill="1" applyBorder="1" applyAlignment="1" applyProtection="1">
      <alignment horizontal="center" vertical="center"/>
      <protection locked="0"/>
    </xf>
    <xf numFmtId="0" fontId="9" fillId="6" borderId="48"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75" fillId="25" borderId="21" xfId="0" applyFont="1" applyFill="1" applyBorder="1" applyAlignment="1" applyProtection="1">
      <alignment horizontal="center" vertical="center"/>
      <protection locked="0"/>
    </xf>
    <xf numFmtId="0" fontId="75" fillId="25" borderId="19" xfId="0" applyFont="1" applyFill="1" applyBorder="1" applyAlignment="1" applyProtection="1">
      <alignment horizontal="center" vertical="center"/>
      <protection locked="0"/>
    </xf>
    <xf numFmtId="0" fontId="12" fillId="8" borderId="40"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28" xfId="0" applyFont="1" applyFill="1" applyBorder="1" applyAlignment="1">
      <alignment horizontal="center" vertical="center" wrapText="1"/>
    </xf>
    <xf numFmtId="0" fontId="9" fillId="6" borderId="24" xfId="0" applyFont="1" applyFill="1" applyBorder="1" applyAlignment="1">
      <alignment horizontal="center" vertical="center" wrapText="1"/>
    </xf>
    <xf numFmtId="0" fontId="9" fillId="6" borderId="22" xfId="0" applyFont="1" applyFill="1" applyBorder="1" applyAlignment="1">
      <alignment horizontal="center" vertical="center" wrapText="1"/>
    </xf>
    <xf numFmtId="0" fontId="9" fillId="0" borderId="13" xfId="0" applyFont="1" applyBorder="1" applyAlignment="1">
      <alignment vertical="center" wrapText="1"/>
    </xf>
    <xf numFmtId="0" fontId="3" fillId="8" borderId="92" xfId="0" applyFont="1" applyFill="1" applyBorder="1" applyAlignment="1">
      <alignment horizontal="center" vertical="center" wrapText="1"/>
    </xf>
    <xf numFmtId="0" fontId="32" fillId="8" borderId="22" xfId="0" applyFont="1" applyFill="1" applyBorder="1" applyAlignment="1">
      <alignment horizontal="center" vertical="center" wrapText="1"/>
    </xf>
    <xf numFmtId="0" fontId="9" fillId="8" borderId="124" xfId="0" applyFont="1" applyFill="1" applyBorder="1" applyAlignment="1">
      <alignment horizontal="center" vertical="center" wrapText="1"/>
    </xf>
    <xf numFmtId="0" fontId="9" fillId="8" borderId="45" xfId="0" applyFont="1" applyFill="1" applyBorder="1" applyAlignment="1">
      <alignment horizontal="center" vertical="center" wrapText="1"/>
    </xf>
    <xf numFmtId="0" fontId="9" fillId="8" borderId="92" xfId="0" applyFont="1" applyFill="1" applyBorder="1" applyAlignment="1">
      <alignment horizontal="center" vertical="center" wrapText="1"/>
    </xf>
    <xf numFmtId="0" fontId="9" fillId="6" borderId="4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8" xfId="0" applyFont="1" applyFill="1" applyBorder="1" applyAlignment="1">
      <alignment horizontal="center" vertical="center"/>
    </xf>
    <xf numFmtId="0" fontId="75" fillId="25" borderId="3" xfId="0" applyFont="1" applyFill="1" applyBorder="1" applyAlignment="1" applyProtection="1">
      <alignment horizontal="center" vertical="center"/>
      <protection locked="0"/>
    </xf>
    <xf numFmtId="0" fontId="75" fillId="25" borderId="4" xfId="0" applyFont="1" applyFill="1" applyBorder="1" applyAlignment="1" applyProtection="1">
      <alignment horizontal="center" vertical="center"/>
      <protection locked="0"/>
    </xf>
    <xf numFmtId="0" fontId="75" fillId="25" borderId="27" xfId="0" applyFont="1" applyFill="1" applyBorder="1" applyAlignment="1" applyProtection="1">
      <alignment horizontal="center" vertical="center"/>
      <protection locked="0"/>
    </xf>
    <xf numFmtId="0" fontId="75" fillId="25" borderId="24" xfId="0" applyFont="1" applyFill="1" applyBorder="1" applyAlignment="1" applyProtection="1">
      <alignment horizontal="center" vertical="center"/>
      <protection locked="0"/>
    </xf>
    <xf numFmtId="0" fontId="75" fillId="25" borderId="22" xfId="0" applyFont="1" applyFill="1" applyBorder="1" applyAlignment="1" applyProtection="1">
      <alignment horizontal="center" vertical="center"/>
      <protection locked="0"/>
    </xf>
    <xf numFmtId="0" fontId="9" fillId="0" borderId="137" xfId="0" applyFont="1" applyBorder="1" applyAlignment="1">
      <alignment vertical="center" wrapText="1"/>
    </xf>
    <xf numFmtId="0" fontId="9" fillId="0" borderId="61" xfId="0" applyFont="1" applyBorder="1" applyAlignment="1">
      <alignment vertical="center" wrapText="1"/>
    </xf>
    <xf numFmtId="0" fontId="9" fillId="0" borderId="217" xfId="0" applyFont="1" applyBorder="1" applyAlignment="1">
      <alignment vertical="center" wrapText="1"/>
    </xf>
    <xf numFmtId="0" fontId="0" fillId="0" borderId="0" xfId="0" applyAlignment="1">
      <alignment vertical="center"/>
    </xf>
    <xf numFmtId="0" fontId="0" fillId="0" borderId="0" xfId="0" applyAlignment="1">
      <alignment horizontal="left" vertical="center" wrapText="1" indent="1"/>
    </xf>
    <xf numFmtId="0" fontId="150" fillId="0" borderId="0" xfId="0" applyFont="1" applyAlignment="1">
      <alignment horizontal="center"/>
    </xf>
    <xf numFmtId="0" fontId="6" fillId="25" borderId="9" xfId="0" applyFont="1" applyFill="1" applyBorder="1" applyAlignment="1" applyProtection="1">
      <alignment horizontal="center" vertical="center" wrapText="1"/>
      <protection locked="0"/>
    </xf>
    <xf numFmtId="0" fontId="243" fillId="8" borderId="9" xfId="0" applyFont="1" applyFill="1" applyBorder="1" applyAlignment="1">
      <alignment horizontal="center" vertical="center" wrapText="1"/>
    </xf>
    <xf numFmtId="0" fontId="243" fillId="8" borderId="11" xfId="0" applyFont="1" applyFill="1" applyBorder="1" applyAlignment="1">
      <alignment horizontal="center" vertical="center" wrapText="1"/>
    </xf>
    <xf numFmtId="0" fontId="12" fillId="0" borderId="44"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2" xfId="0" applyFont="1" applyBorder="1" applyAlignment="1">
      <alignment horizontal="center" vertical="center" wrapText="1"/>
    </xf>
    <xf numFmtId="0" fontId="13" fillId="3" borderId="154" xfId="0" applyFont="1" applyFill="1" applyBorder="1" applyAlignment="1">
      <alignment horizontal="center" vertical="center" wrapText="1"/>
    </xf>
    <xf numFmtId="0" fontId="9" fillId="0" borderId="107" xfId="0" applyFont="1" applyBorder="1" applyAlignment="1">
      <alignment vertical="center" wrapText="1"/>
    </xf>
    <xf numFmtId="0" fontId="9" fillId="0" borderId="122" xfId="0" applyFont="1" applyBorder="1" applyAlignment="1">
      <alignment vertical="center" wrapText="1"/>
    </xf>
    <xf numFmtId="0" fontId="9" fillId="0" borderId="2" xfId="0" applyFont="1" applyBorder="1" applyAlignment="1">
      <alignment vertical="center" wrapText="1"/>
    </xf>
    <xf numFmtId="0" fontId="9" fillId="0" borderId="4" xfId="0" applyFont="1" applyBorder="1" applyAlignment="1">
      <alignment vertical="center" wrapText="1"/>
    </xf>
    <xf numFmtId="0" fontId="167" fillId="0" borderId="38" xfId="0" applyFont="1" applyBorder="1" applyAlignment="1">
      <alignment horizontal="center" vertical="center" wrapText="1"/>
    </xf>
    <xf numFmtId="0" fontId="167" fillId="0" borderId="65" xfId="0" applyFont="1" applyBorder="1" applyAlignment="1">
      <alignment horizontal="center" vertical="center" wrapText="1"/>
    </xf>
    <xf numFmtId="0" fontId="167" fillId="0" borderId="53" xfId="0" applyFont="1" applyBorder="1" applyAlignment="1">
      <alignment horizontal="center" vertical="center" wrapText="1"/>
    </xf>
    <xf numFmtId="0" fontId="9" fillId="0" borderId="40" xfId="0" applyFont="1" applyBorder="1" applyAlignment="1">
      <alignment horizontal="center" vertical="center"/>
    </xf>
    <xf numFmtId="0" fontId="9" fillId="0" borderId="3" xfId="0" applyFont="1" applyBorder="1" applyAlignment="1">
      <alignment horizontal="center" vertical="center"/>
    </xf>
    <xf numFmtId="0" fontId="9" fillId="0" borderId="19" xfId="0" applyFont="1" applyBorder="1" applyAlignment="1">
      <alignment horizontal="center" vertical="center"/>
    </xf>
    <xf numFmtId="166" fontId="77" fillId="0" borderId="10" xfId="0" applyNumberFormat="1" applyFont="1" applyBorder="1" applyAlignment="1">
      <alignment horizontal="center" vertical="center" wrapText="1"/>
    </xf>
    <xf numFmtId="166" fontId="77" fillId="0" borderId="34" xfId="0" applyNumberFormat="1" applyFont="1" applyBorder="1" applyAlignment="1">
      <alignment horizontal="center" vertical="center" wrapText="1"/>
    </xf>
    <xf numFmtId="0" fontId="67" fillId="4" borderId="146" xfId="0" applyFont="1" applyFill="1" applyBorder="1" applyAlignment="1">
      <alignment horizontal="center" vertical="center" wrapText="1"/>
    </xf>
    <xf numFmtId="0" fontId="67" fillId="4" borderId="150" xfId="0" applyFont="1" applyFill="1" applyBorder="1" applyAlignment="1">
      <alignment horizontal="center" vertical="center" wrapText="1"/>
    </xf>
    <xf numFmtId="0" fontId="67" fillId="4" borderId="149" xfId="0" applyFont="1" applyFill="1" applyBorder="1" applyAlignment="1">
      <alignment horizontal="center" vertical="center" wrapText="1"/>
    </xf>
    <xf numFmtId="0" fontId="67" fillId="4" borderId="147" xfId="0" applyFont="1" applyFill="1" applyBorder="1" applyAlignment="1">
      <alignment horizontal="center" vertical="center" wrapText="1"/>
    </xf>
    <xf numFmtId="0" fontId="16" fillId="4" borderId="147" xfId="0" applyFont="1" applyFill="1" applyBorder="1" applyAlignment="1">
      <alignment horizontal="center" vertical="center" wrapText="1"/>
    </xf>
    <xf numFmtId="0" fontId="16" fillId="4" borderId="101" xfId="0" applyFont="1" applyFill="1" applyBorder="1" applyAlignment="1">
      <alignment horizontal="center" vertical="center" wrapText="1"/>
    </xf>
    <xf numFmtId="0" fontId="16" fillId="4" borderId="102" xfId="0" applyFont="1" applyFill="1" applyBorder="1" applyAlignment="1">
      <alignment horizontal="center" vertical="center" wrapText="1"/>
    </xf>
    <xf numFmtId="0" fontId="9" fillId="0" borderId="71"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0" xfId="0" applyFont="1" applyAlignment="1">
      <alignment horizontal="center" vertical="center" wrapText="1"/>
    </xf>
    <xf numFmtId="0" fontId="14" fillId="4" borderId="150" xfId="0" applyFont="1" applyFill="1" applyBorder="1" applyAlignment="1">
      <alignment vertical="center" wrapText="1"/>
    </xf>
    <xf numFmtId="0" fontId="6" fillId="25" borderId="38" xfId="0" applyFont="1" applyFill="1" applyBorder="1" applyAlignment="1" applyProtection="1">
      <alignment horizontal="center" vertical="center" wrapText="1"/>
      <protection locked="0"/>
    </xf>
    <xf numFmtId="0" fontId="6" fillId="25" borderId="121" xfId="0" applyFont="1" applyFill="1" applyBorder="1" applyAlignment="1" applyProtection="1">
      <alignment horizontal="center" vertical="center" wrapText="1"/>
      <protection locked="0"/>
    </xf>
    <xf numFmtId="0" fontId="16" fillId="0" borderId="118" xfId="0" applyFont="1" applyBorder="1" applyAlignment="1">
      <alignment vertical="center"/>
    </xf>
    <xf numFmtId="0" fontId="16" fillId="0" borderId="122" xfId="0" applyFont="1" applyBorder="1" applyAlignment="1">
      <alignment vertical="center"/>
    </xf>
    <xf numFmtId="0" fontId="22" fillId="4" borderId="42"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75" fillId="25" borderId="44" xfId="0" applyFont="1" applyFill="1" applyBorder="1" applyAlignment="1" applyProtection="1">
      <alignment horizontal="center" vertical="center" wrapText="1"/>
      <protection locked="0"/>
    </xf>
    <xf numFmtId="0" fontId="75" fillId="25" borderId="24" xfId="0" applyFont="1" applyFill="1" applyBorder="1" applyAlignment="1" applyProtection="1">
      <alignment horizontal="center" vertical="center" wrapText="1"/>
      <protection locked="0"/>
    </xf>
    <xf numFmtId="0" fontId="9" fillId="0" borderId="156" xfId="0" applyFont="1" applyBorder="1" applyAlignment="1">
      <alignment horizontal="center" vertical="center" wrapText="1"/>
    </xf>
    <xf numFmtId="0" fontId="9" fillId="0" borderId="139" xfId="0" applyFont="1" applyBorder="1" applyAlignment="1">
      <alignment horizontal="center" vertical="center" wrapText="1"/>
    </xf>
    <xf numFmtId="0" fontId="9" fillId="0" borderId="138" xfId="0" applyFont="1" applyBorder="1" applyAlignment="1">
      <alignment horizontal="center" vertical="center" wrapText="1"/>
    </xf>
    <xf numFmtId="0" fontId="65" fillId="25" borderId="24" xfId="0" applyFont="1" applyFill="1" applyBorder="1" applyAlignment="1" applyProtection="1">
      <alignment horizontal="center" vertical="center" wrapText="1"/>
      <protection locked="0"/>
    </xf>
    <xf numFmtId="0" fontId="65" fillId="25" borderId="35" xfId="0" applyFont="1" applyFill="1" applyBorder="1" applyAlignment="1" applyProtection="1">
      <alignment horizontal="center" vertical="center" wrapText="1"/>
      <protection locked="0"/>
    </xf>
    <xf numFmtId="0" fontId="9" fillId="0" borderId="0" xfId="0" applyFont="1" applyAlignment="1">
      <alignment vertical="center" wrapText="1"/>
    </xf>
    <xf numFmtId="0" fontId="75" fillId="25" borderId="42" xfId="0" applyFont="1" applyFill="1" applyBorder="1" applyAlignment="1" applyProtection="1">
      <alignment horizontal="center" vertical="center" wrapText="1"/>
      <protection locked="0"/>
    </xf>
    <xf numFmtId="0" fontId="75" fillId="25" borderId="11" xfId="0" applyFont="1" applyFill="1" applyBorder="1" applyAlignment="1" applyProtection="1">
      <alignment horizontal="center" vertical="center" wrapText="1"/>
      <protection locked="0"/>
    </xf>
    <xf numFmtId="1" fontId="75" fillId="25" borderId="9" xfId="0" applyNumberFormat="1" applyFont="1" applyFill="1" applyBorder="1" applyAlignment="1" applyProtection="1">
      <alignment horizontal="center" vertical="center" wrapText="1"/>
      <protection locked="0"/>
    </xf>
    <xf numFmtId="1" fontId="75" fillId="25" borderId="11" xfId="0" applyNumberFormat="1" applyFont="1" applyFill="1" applyBorder="1" applyAlignment="1" applyProtection="1">
      <alignment horizontal="center" vertical="center" wrapText="1"/>
      <protection locked="0"/>
    </xf>
    <xf numFmtId="2" fontId="77" fillId="0" borderId="10" xfId="0" applyNumberFormat="1" applyFont="1" applyBorder="1" applyAlignment="1">
      <alignment horizontal="center" vertical="center" wrapText="1"/>
    </xf>
    <xf numFmtId="2" fontId="77" fillId="0" borderId="34" xfId="0" applyNumberFormat="1" applyFont="1" applyBorder="1" applyAlignment="1">
      <alignment horizontal="center" vertical="center" wrapText="1"/>
    </xf>
    <xf numFmtId="0" fontId="6" fillId="25" borderId="129" xfId="0" applyFont="1" applyFill="1" applyBorder="1" applyAlignment="1" applyProtection="1">
      <alignment horizontal="center" vertical="center" wrapText="1"/>
      <protection locked="0"/>
    </xf>
    <xf numFmtId="0" fontId="6" fillId="25" borderId="135" xfId="0" applyFont="1" applyFill="1" applyBorder="1" applyAlignment="1" applyProtection="1">
      <alignment horizontal="center" vertical="center" wrapText="1"/>
      <protection locked="0"/>
    </xf>
    <xf numFmtId="0" fontId="14" fillId="3" borderId="119" xfId="0" applyFont="1" applyFill="1" applyBorder="1" applyAlignment="1">
      <alignment horizontal="center" vertical="center" wrapText="1"/>
    </xf>
    <xf numFmtId="0" fontId="14" fillId="3" borderId="120" xfId="0" applyFont="1" applyFill="1" applyBorder="1" applyAlignment="1">
      <alignment horizontal="center" vertical="center" wrapText="1"/>
    </xf>
    <xf numFmtId="0" fontId="9" fillId="8" borderId="42" xfId="0" applyFont="1" applyFill="1" applyBorder="1" applyAlignment="1">
      <alignment horizontal="center" vertical="center"/>
    </xf>
    <xf numFmtId="0" fontId="9" fillId="8" borderId="8" xfId="0" applyFont="1" applyFill="1" applyBorder="1" applyAlignment="1">
      <alignment horizontal="center" vertical="center"/>
    </xf>
    <xf numFmtId="0" fontId="9" fillId="8" borderId="11" xfId="0" applyFont="1" applyFill="1" applyBorder="1" applyAlignment="1">
      <alignment horizontal="center" vertical="center"/>
    </xf>
    <xf numFmtId="0" fontId="9" fillId="0" borderId="65" xfId="0" applyFont="1" applyBorder="1" applyAlignment="1">
      <alignment vertical="center" wrapText="1"/>
    </xf>
    <xf numFmtId="0" fontId="9" fillId="0" borderId="155" xfId="0" applyFont="1" applyBorder="1" applyAlignment="1">
      <alignment horizontal="center" vertical="center" wrapText="1"/>
    </xf>
    <xf numFmtId="177" fontId="0" fillId="0" borderId="0" xfId="0" applyNumberFormat="1" applyAlignment="1">
      <alignment horizontal="left" vertical="center"/>
    </xf>
    <xf numFmtId="0" fontId="9" fillId="8" borderId="17" xfId="0" applyFont="1" applyFill="1" applyBorder="1" applyAlignment="1">
      <alignment horizontal="center" vertical="center"/>
    </xf>
    <xf numFmtId="0" fontId="33" fillId="8" borderId="17" xfId="0" applyFont="1" applyFill="1" applyBorder="1" applyAlignment="1">
      <alignment horizontal="center" vertical="center"/>
    </xf>
    <xf numFmtId="0" fontId="33" fillId="8" borderId="29" xfId="0" applyFont="1" applyFill="1" applyBorder="1" applyAlignment="1">
      <alignment horizontal="center" vertical="center"/>
    </xf>
    <xf numFmtId="0" fontId="6" fillId="25" borderId="35" xfId="0" applyFont="1" applyFill="1" applyBorder="1" applyAlignment="1" applyProtection="1">
      <alignment horizontal="center" vertical="center" wrapText="1"/>
      <protection locked="0"/>
    </xf>
    <xf numFmtId="49" fontId="9" fillId="2" borderId="16" xfId="0" applyNumberFormat="1" applyFont="1" applyFill="1" applyBorder="1" applyAlignment="1">
      <alignment horizontal="center"/>
    </xf>
    <xf numFmtId="49" fontId="9" fillId="2" borderId="6" xfId="0" applyNumberFormat="1" applyFont="1" applyFill="1" applyBorder="1" applyAlignment="1">
      <alignment horizontal="center"/>
    </xf>
    <xf numFmtId="49" fontId="9" fillId="2" borderId="5" xfId="0" applyNumberFormat="1" applyFont="1" applyFill="1" applyBorder="1" applyAlignment="1">
      <alignment horizontal="center"/>
    </xf>
    <xf numFmtId="49" fontId="9" fillId="2" borderId="13" xfId="0" applyNumberFormat="1" applyFont="1" applyFill="1" applyBorder="1" applyAlignment="1">
      <alignment horizontal="center"/>
    </xf>
    <xf numFmtId="0" fontId="16" fillId="4" borderId="146" xfId="0" applyFont="1" applyFill="1" applyBorder="1" applyAlignment="1">
      <alignment horizontal="center" vertical="center" wrapText="1"/>
    </xf>
    <xf numFmtId="49" fontId="9" fillId="2" borderId="23" xfId="0" applyNumberFormat="1" applyFont="1" applyFill="1" applyBorder="1" applyAlignment="1">
      <alignment horizontal="center"/>
    </xf>
    <xf numFmtId="0" fontId="9" fillId="4" borderId="101" xfId="0" applyFont="1" applyFill="1" applyBorder="1" applyAlignment="1">
      <alignment horizontal="center" vertical="center" wrapText="1"/>
    </xf>
    <xf numFmtId="0" fontId="9" fillId="4" borderId="147" xfId="0" applyFont="1" applyFill="1" applyBorder="1" applyAlignment="1">
      <alignment horizontal="center" vertical="center" wrapText="1"/>
    </xf>
    <xf numFmtId="0" fontId="323" fillId="25" borderId="5" xfId="0" applyFont="1" applyFill="1" applyBorder="1" applyAlignment="1" applyProtection="1">
      <alignment horizontal="center" vertical="center" wrapText="1"/>
      <protection locked="0"/>
    </xf>
    <xf numFmtId="0" fontId="6" fillId="25" borderId="24" xfId="0" applyFont="1" applyFill="1" applyBorder="1" applyAlignment="1" applyProtection="1">
      <alignment horizontal="center" vertical="center" wrapText="1"/>
      <protection locked="0"/>
    </xf>
    <xf numFmtId="0" fontId="9" fillId="8" borderId="9" xfId="0" applyFont="1" applyFill="1" applyBorder="1" applyAlignment="1">
      <alignment horizontal="center" vertical="center"/>
    </xf>
    <xf numFmtId="0" fontId="9" fillId="8" borderId="23" xfId="0" applyFont="1" applyFill="1" applyBorder="1" applyAlignment="1">
      <alignment horizontal="center" vertical="center"/>
    </xf>
    <xf numFmtId="0" fontId="77" fillId="8" borderId="42" xfId="0" applyFont="1" applyFill="1" applyBorder="1" applyAlignment="1">
      <alignment horizontal="center" vertical="center"/>
    </xf>
    <xf numFmtId="0" fontId="77" fillId="8" borderId="8" xfId="0" applyFont="1" applyFill="1" applyBorder="1" applyAlignment="1">
      <alignment horizontal="center" vertical="center"/>
    </xf>
    <xf numFmtId="0" fontId="77" fillId="8" borderId="11" xfId="0" applyFont="1" applyFill="1" applyBorder="1" applyAlignment="1">
      <alignment horizontal="center" vertical="center"/>
    </xf>
    <xf numFmtId="0" fontId="77" fillId="8" borderId="9" xfId="0" applyFont="1" applyFill="1" applyBorder="1" applyAlignment="1">
      <alignment horizontal="center" vertical="center"/>
    </xf>
    <xf numFmtId="0" fontId="77" fillId="8" borderId="23" xfId="0" applyFont="1" applyFill="1" applyBorder="1" applyAlignment="1">
      <alignment horizontal="center" vertical="center"/>
    </xf>
    <xf numFmtId="0" fontId="133" fillId="8" borderId="124" xfId="0" applyFont="1" applyFill="1" applyBorder="1" applyAlignment="1">
      <alignment horizontal="center" vertical="center"/>
    </xf>
    <xf numFmtId="0" fontId="133" fillId="8" borderId="45" xfId="0" applyFont="1" applyFill="1" applyBorder="1" applyAlignment="1">
      <alignment horizontal="center" vertical="center"/>
    </xf>
    <xf numFmtId="0" fontId="133" fillId="8" borderId="92" xfId="0" applyFont="1" applyFill="1" applyBorder="1" applyAlignment="1">
      <alignment horizontal="center" vertical="center"/>
    </xf>
    <xf numFmtId="0" fontId="81" fillId="25" borderId="136" xfId="0" applyFont="1" applyFill="1" applyBorder="1" applyAlignment="1" applyProtection="1">
      <alignment horizontal="left" vertical="center"/>
      <protection locked="0"/>
    </xf>
    <xf numFmtId="0" fontId="81" fillId="25" borderId="18" xfId="0" applyFont="1" applyFill="1" applyBorder="1" applyAlignment="1" applyProtection="1">
      <alignment horizontal="left" vertical="center"/>
      <protection locked="0"/>
    </xf>
    <xf numFmtId="0" fontId="9" fillId="8" borderId="173" xfId="0" applyFont="1" applyFill="1" applyBorder="1" applyAlignment="1">
      <alignment vertical="center" wrapText="1"/>
    </xf>
    <xf numFmtId="0" fontId="9" fillId="8" borderId="174" xfId="0" applyFont="1" applyFill="1" applyBorder="1" applyAlignment="1">
      <alignment vertical="center" wrapText="1"/>
    </xf>
    <xf numFmtId="0" fontId="9" fillId="8" borderId="44" xfId="0" applyFont="1" applyFill="1" applyBorder="1" applyAlignment="1">
      <alignment vertical="center" wrapText="1"/>
    </xf>
    <xf numFmtId="49" fontId="22" fillId="8" borderId="0" xfId="0" applyNumberFormat="1" applyFont="1" applyFill="1" applyAlignment="1">
      <alignment horizontal="center" wrapText="1"/>
    </xf>
    <xf numFmtId="49" fontId="39" fillId="8" borderId="28" xfId="0" applyNumberFormat="1" applyFont="1" applyFill="1" applyBorder="1" applyAlignment="1">
      <alignment horizontal="center" wrapText="1"/>
    </xf>
    <xf numFmtId="49" fontId="39" fillId="8" borderId="24" xfId="0" applyNumberFormat="1" applyFont="1" applyFill="1" applyBorder="1" applyAlignment="1">
      <alignment horizontal="center" wrapText="1"/>
    </xf>
    <xf numFmtId="49" fontId="39" fillId="8" borderId="22" xfId="0" applyNumberFormat="1" applyFont="1" applyFill="1" applyBorder="1" applyAlignment="1">
      <alignment horizontal="center" wrapText="1"/>
    </xf>
    <xf numFmtId="0" fontId="2" fillId="8" borderId="45" xfId="0" applyFont="1" applyFill="1" applyBorder="1" applyAlignment="1">
      <alignment horizontal="center" vertical="center" wrapText="1"/>
    </xf>
    <xf numFmtId="0" fontId="2" fillId="8" borderId="92"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8" xfId="0" applyFont="1" applyFill="1" applyBorder="1" applyAlignment="1">
      <alignment horizontal="center" vertical="center" wrapText="1"/>
    </xf>
    <xf numFmtId="49" fontId="9" fillId="2" borderId="12" xfId="0" applyNumberFormat="1" applyFont="1" applyFill="1" applyBorder="1" applyAlignment="1">
      <alignment horizontal="center"/>
    </xf>
    <xf numFmtId="49" fontId="9" fillId="2" borderId="18" xfId="0" applyNumberFormat="1" applyFont="1" applyFill="1" applyBorder="1" applyAlignment="1">
      <alignment horizontal="center"/>
    </xf>
    <xf numFmtId="0" fontId="15" fillId="2" borderId="0" xfId="0" applyFont="1" applyFill="1" applyAlignment="1">
      <alignment horizontal="left"/>
    </xf>
    <xf numFmtId="49" fontId="39" fillId="8" borderId="46" xfId="0" applyNumberFormat="1" applyFont="1" applyFill="1" applyBorder="1" applyAlignment="1">
      <alignment horizontal="center" wrapText="1"/>
    </xf>
    <xf numFmtId="49" fontId="39" fillId="8" borderId="25" xfId="0" applyNumberFormat="1" applyFont="1" applyFill="1" applyBorder="1" applyAlignment="1">
      <alignment horizontal="center" wrapText="1"/>
    </xf>
    <xf numFmtId="0" fontId="2" fillId="8" borderId="143" xfId="0" applyFont="1" applyFill="1" applyBorder="1" applyAlignment="1">
      <alignment horizontal="center" vertical="center"/>
    </xf>
    <xf numFmtId="0" fontId="2" fillId="8" borderId="119" xfId="0" applyFont="1" applyFill="1" applyBorder="1" applyAlignment="1">
      <alignment horizontal="center" vertical="center"/>
    </xf>
    <xf numFmtId="0" fontId="2" fillId="8" borderId="120" xfId="0" applyFont="1" applyFill="1" applyBorder="1" applyAlignment="1">
      <alignment horizontal="center" vertical="center"/>
    </xf>
    <xf numFmtId="0" fontId="9" fillId="8" borderId="33" xfId="0" applyFont="1" applyFill="1" applyBorder="1" applyAlignment="1">
      <alignment horizontal="center" vertical="center"/>
    </xf>
    <xf numFmtId="191" fontId="75" fillId="25" borderId="114" xfId="0" applyNumberFormat="1" applyFont="1" applyFill="1" applyBorder="1" applyAlignment="1" applyProtection="1">
      <alignment horizontal="left" vertical="center"/>
      <protection locked="0"/>
    </xf>
    <xf numFmtId="191" fontId="75" fillId="25" borderId="32" xfId="0" applyNumberFormat="1" applyFont="1" applyFill="1" applyBorder="1" applyAlignment="1" applyProtection="1">
      <alignment horizontal="left" vertical="center"/>
      <protection locked="0"/>
    </xf>
    <xf numFmtId="191" fontId="75" fillId="25" borderId="61" xfId="0" applyNumberFormat="1" applyFont="1" applyFill="1" applyBorder="1" applyAlignment="1" applyProtection="1">
      <alignment vertical="center"/>
      <protection locked="0"/>
    </xf>
    <xf numFmtId="191" fontId="75" fillId="25" borderId="14" xfId="0" applyNumberFormat="1" applyFont="1" applyFill="1" applyBorder="1" applyAlignment="1" applyProtection="1">
      <alignment vertical="center"/>
      <protection locked="0"/>
    </xf>
    <xf numFmtId="0" fontId="3" fillId="0" borderId="85" xfId="0" applyFont="1" applyBorder="1" applyAlignment="1">
      <alignment horizontal="center" vertical="center" textRotation="90"/>
    </xf>
    <xf numFmtId="0" fontId="3" fillId="0" borderId="233" xfId="0" applyFont="1" applyBorder="1" applyAlignment="1">
      <alignment horizontal="center" vertical="center" textRotation="90"/>
    </xf>
    <xf numFmtId="0" fontId="2" fillId="8" borderId="40" xfId="0" applyFont="1" applyFill="1" applyBorder="1" applyAlignment="1">
      <alignment horizontal="center" vertical="center"/>
    </xf>
    <xf numFmtId="0" fontId="2" fillId="8" borderId="3" xfId="0" applyFont="1" applyFill="1" applyBorder="1" applyAlignment="1">
      <alignment horizontal="center" vertical="center"/>
    </xf>
    <xf numFmtId="0" fontId="2" fillId="8" borderId="4" xfId="0" applyFont="1" applyFill="1" applyBorder="1" applyAlignment="1">
      <alignment horizontal="center" vertical="center"/>
    </xf>
    <xf numFmtId="0" fontId="84" fillId="8" borderId="40" xfId="0" applyFont="1" applyFill="1" applyBorder="1" applyAlignment="1">
      <alignment horizontal="center" vertical="center"/>
    </xf>
    <xf numFmtId="0" fontId="84" fillId="8" borderId="3" xfId="0" applyFont="1" applyFill="1" applyBorder="1" applyAlignment="1">
      <alignment horizontal="center" vertical="center"/>
    </xf>
    <xf numFmtId="0" fontId="84" fillId="8" borderId="4" xfId="0" applyFont="1" applyFill="1" applyBorder="1" applyAlignment="1">
      <alignment horizontal="center" vertical="center"/>
    </xf>
    <xf numFmtId="0" fontId="240" fillId="8" borderId="239" xfId="0" applyFont="1" applyFill="1" applyBorder="1" applyAlignment="1">
      <alignment horizontal="center" vertical="center" wrapText="1"/>
    </xf>
    <xf numFmtId="0" fontId="240" fillId="8" borderId="165" xfId="0" applyFont="1" applyFill="1" applyBorder="1" applyAlignment="1">
      <alignment horizontal="center" vertical="center" wrapText="1"/>
    </xf>
    <xf numFmtId="0" fontId="240" fillId="8" borderId="240" xfId="0" applyFont="1" applyFill="1" applyBorder="1" applyAlignment="1">
      <alignment horizontal="center" vertical="center" wrapText="1"/>
    </xf>
    <xf numFmtId="2" fontId="141" fillId="0" borderId="14" xfId="0" applyNumberFormat="1" applyFont="1" applyBorder="1" applyAlignment="1">
      <alignment horizontal="center"/>
    </xf>
    <xf numFmtId="2" fontId="141" fillId="0" borderId="6" xfId="0" applyNumberFormat="1" applyFont="1" applyBorder="1" applyAlignment="1">
      <alignment horizontal="center"/>
    </xf>
    <xf numFmtId="2" fontId="141" fillId="0" borderId="21" xfId="0" applyNumberFormat="1" applyFont="1" applyBorder="1" applyAlignment="1">
      <alignment horizontal="center"/>
    </xf>
    <xf numFmtId="2" fontId="141" fillId="0" borderId="19" xfId="0" applyNumberFormat="1" applyFont="1" applyBorder="1" applyAlignment="1">
      <alignment horizontal="center"/>
    </xf>
    <xf numFmtId="0" fontId="242" fillId="8" borderId="27" xfId="0" applyFont="1" applyFill="1" applyBorder="1" applyAlignment="1">
      <alignment horizontal="center" vertical="center" wrapText="1"/>
    </xf>
    <xf numFmtId="0" fontId="242" fillId="8" borderId="35" xfId="0" applyFont="1" applyFill="1" applyBorder="1" applyAlignment="1">
      <alignment horizontal="center" vertical="center" wrapText="1"/>
    </xf>
    <xf numFmtId="0" fontId="242" fillId="8" borderId="9" xfId="0" applyFont="1" applyFill="1" applyBorder="1" applyAlignment="1">
      <alignment horizontal="center" vertical="center" wrapText="1"/>
    </xf>
    <xf numFmtId="0" fontId="242" fillId="8" borderId="11" xfId="0" applyFont="1" applyFill="1" applyBorder="1" applyAlignment="1">
      <alignment horizontal="center" vertical="center" wrapText="1"/>
    </xf>
    <xf numFmtId="0" fontId="139" fillId="8" borderId="9" xfId="0" applyFont="1" applyFill="1" applyBorder="1" applyAlignment="1">
      <alignment horizontal="center"/>
    </xf>
    <xf numFmtId="0" fontId="139" fillId="8" borderId="11" xfId="0" applyFont="1" applyFill="1" applyBorder="1" applyAlignment="1">
      <alignment horizontal="center"/>
    </xf>
    <xf numFmtId="0" fontId="141" fillId="0" borderId="21" xfId="0" applyFont="1" applyBorder="1" applyAlignment="1">
      <alignment horizontal="center" vertical="center" wrapText="1"/>
    </xf>
    <xf numFmtId="0" fontId="141" fillId="0" borderId="19" xfId="0" applyFont="1" applyBorder="1" applyAlignment="1">
      <alignment horizontal="center" vertical="center" wrapText="1"/>
    </xf>
    <xf numFmtId="0" fontId="141" fillId="0" borderId="38" xfId="0" applyFont="1" applyBorder="1" applyAlignment="1">
      <alignment horizontal="center" vertical="center" wrapText="1"/>
    </xf>
    <xf numFmtId="0" fontId="141" fillId="0" borderId="53" xfId="0" applyFont="1" applyBorder="1" applyAlignment="1">
      <alignment horizontal="center" vertical="center" wrapText="1"/>
    </xf>
    <xf numFmtId="2" fontId="141" fillId="0" borderId="38" xfId="0" applyNumberFormat="1" applyFont="1" applyBorder="1" applyAlignment="1">
      <alignment horizontal="center" vertical="center"/>
    </xf>
    <xf numFmtId="2" fontId="141" fillId="0" borderId="53" xfId="0" applyNumberFormat="1" applyFont="1" applyBorder="1" applyAlignment="1">
      <alignment horizontal="center" vertical="center"/>
    </xf>
    <xf numFmtId="165" fontId="3" fillId="0" borderId="38" xfId="0" applyNumberFormat="1" applyFont="1" applyBorder="1" applyAlignment="1">
      <alignment horizontal="center" vertical="center"/>
    </xf>
    <xf numFmtId="165" fontId="3" fillId="0" borderId="121" xfId="0" applyNumberFormat="1" applyFont="1" applyBorder="1" applyAlignment="1">
      <alignment horizontal="center" vertical="center"/>
    </xf>
    <xf numFmtId="0" fontId="361" fillId="25" borderId="38" xfId="0" applyFont="1" applyFill="1" applyBorder="1" applyAlignment="1" applyProtection="1">
      <alignment horizontal="center" vertical="center" wrapText="1"/>
      <protection locked="0"/>
    </xf>
    <xf numFmtId="0" fontId="135" fillId="8" borderId="151" xfId="0" applyFont="1" applyFill="1" applyBorder="1" applyAlignment="1">
      <alignment horizontal="center" vertical="center" wrapText="1"/>
    </xf>
    <xf numFmtId="0" fontId="135" fillId="8" borderId="119" xfId="0" applyFont="1" applyFill="1" applyBorder="1" applyAlignment="1">
      <alignment horizontal="center" vertical="center" wrapText="1"/>
    </xf>
    <xf numFmtId="0" fontId="135" fillId="8" borderId="148" xfId="0" applyFont="1" applyFill="1" applyBorder="1" applyAlignment="1">
      <alignment horizontal="center" vertical="center" wrapText="1"/>
    </xf>
    <xf numFmtId="0" fontId="2" fillId="8" borderId="218" xfId="0" applyFont="1" applyFill="1" applyBorder="1" applyAlignment="1">
      <alignment horizontal="center" vertical="center"/>
    </xf>
    <xf numFmtId="0" fontId="2" fillId="8" borderId="159" xfId="0" applyFont="1" applyFill="1" applyBorder="1" applyAlignment="1">
      <alignment horizontal="center" vertical="center"/>
    </xf>
    <xf numFmtId="0" fontId="2" fillId="8" borderId="160" xfId="0" applyFont="1" applyFill="1" applyBorder="1" applyAlignment="1">
      <alignment horizontal="center" vertical="center"/>
    </xf>
    <xf numFmtId="0" fontId="242" fillId="8" borderId="8" xfId="0" applyFont="1" applyFill="1" applyBorder="1" applyAlignment="1">
      <alignment horizontal="center" vertical="center" wrapText="1"/>
    </xf>
    <xf numFmtId="49" fontId="77" fillId="8" borderId="40" xfId="0" applyNumberFormat="1" applyFont="1" applyFill="1" applyBorder="1" applyAlignment="1">
      <alignment horizontal="center" vertical="center"/>
    </xf>
    <xf numFmtId="0" fontId="84" fillId="8" borderId="143" xfId="0" applyFont="1" applyFill="1" applyBorder="1" applyAlignment="1">
      <alignment horizontal="center" vertical="center"/>
    </xf>
    <xf numFmtId="0" fontId="84" fillId="8" borderId="119" xfId="0" applyFont="1" applyFill="1" applyBorder="1" applyAlignment="1">
      <alignment horizontal="center" vertical="center"/>
    </xf>
    <xf numFmtId="0" fontId="84" fillId="8" borderId="145" xfId="0" applyFont="1" applyFill="1" applyBorder="1" applyAlignment="1">
      <alignment horizontal="center" vertical="center"/>
    </xf>
    <xf numFmtId="0" fontId="9" fillId="0" borderId="0" xfId="0" applyFont="1" applyAlignment="1">
      <alignment horizontal="center" vertical="center"/>
    </xf>
    <xf numFmtId="189" fontId="9" fillId="0" borderId="0" xfId="0" applyNumberFormat="1" applyFont="1" applyAlignment="1">
      <alignment horizontal="center" vertical="center"/>
    </xf>
    <xf numFmtId="189" fontId="9" fillId="0" borderId="49" xfId="0" applyNumberFormat="1" applyFont="1" applyBorder="1" applyAlignment="1">
      <alignment horizontal="center" vertical="center"/>
    </xf>
    <xf numFmtId="0" fontId="2" fillId="8" borderId="231" xfId="0" applyFont="1" applyFill="1" applyBorder="1" applyAlignment="1">
      <alignment horizontal="center" vertical="center"/>
    </xf>
    <xf numFmtId="0" fontId="2" fillId="8" borderId="91" xfId="0" applyFont="1" applyFill="1" applyBorder="1" applyAlignment="1">
      <alignment horizontal="center" vertical="center"/>
    </xf>
    <xf numFmtId="0" fontId="2" fillId="8" borderId="59" xfId="0" applyFont="1" applyFill="1" applyBorder="1" applyAlignment="1">
      <alignment horizontal="center" vertical="center"/>
    </xf>
    <xf numFmtId="0" fontId="2" fillId="8" borderId="22" xfId="0" applyFont="1" applyFill="1" applyBorder="1" applyAlignment="1">
      <alignment horizontal="center" vertical="center"/>
    </xf>
    <xf numFmtId="0" fontId="75" fillId="25" borderId="106" xfId="0" applyFont="1" applyFill="1" applyBorder="1" applyAlignment="1" applyProtection="1">
      <alignment horizontal="center" vertical="center"/>
      <protection locked="0"/>
    </xf>
    <xf numFmtId="0" fontId="75" fillId="25" borderId="92" xfId="0" applyFont="1" applyFill="1" applyBorder="1" applyAlignment="1" applyProtection="1">
      <alignment horizontal="center" vertical="center"/>
      <protection locked="0"/>
    </xf>
    <xf numFmtId="0" fontId="75" fillId="25" borderId="229" xfId="0" applyFont="1" applyFill="1" applyBorder="1" applyAlignment="1" applyProtection="1">
      <alignment horizontal="center" vertical="center"/>
      <protection locked="0"/>
    </xf>
    <xf numFmtId="0" fontId="75" fillId="25" borderId="18" xfId="0" applyFont="1" applyFill="1" applyBorder="1" applyAlignment="1" applyProtection="1">
      <alignment horizontal="center" vertical="center"/>
      <protection locked="0"/>
    </xf>
    <xf numFmtId="0" fontId="2" fillId="8" borderId="145" xfId="0" applyFont="1" applyFill="1" applyBorder="1" applyAlignment="1">
      <alignment horizontal="center" vertical="center"/>
    </xf>
    <xf numFmtId="0" fontId="77" fillId="0" borderId="10" xfId="0" applyFont="1" applyBorder="1" applyAlignment="1">
      <alignment horizontal="center" vertical="center"/>
    </xf>
    <xf numFmtId="0" fontId="77" fillId="0" borderId="5" xfId="0" applyFont="1" applyBorder="1" applyAlignment="1">
      <alignment horizontal="center" vertical="center"/>
    </xf>
    <xf numFmtId="0" fontId="77" fillId="0" borderId="13" xfId="0" applyFont="1" applyBorder="1" applyAlignment="1">
      <alignment horizontal="center" vertical="center"/>
    </xf>
    <xf numFmtId="2" fontId="141" fillId="0" borderId="10" xfId="0" applyNumberFormat="1" applyFont="1" applyBorder="1" applyAlignment="1">
      <alignment horizontal="center"/>
    </xf>
    <xf numFmtId="2" fontId="141" fillId="0" borderId="12" xfId="0" applyNumberFormat="1" applyFont="1" applyBorder="1" applyAlignment="1">
      <alignment horizontal="center"/>
    </xf>
    <xf numFmtId="0" fontId="132" fillId="8" borderId="143" xfId="0" applyFont="1" applyFill="1" applyBorder="1" applyAlignment="1">
      <alignment horizontal="center" vertical="center" wrapText="1"/>
    </xf>
    <xf numFmtId="0" fontId="132" fillId="8" borderId="148" xfId="0" applyFont="1" applyFill="1" applyBorder="1" applyAlignment="1">
      <alignment horizontal="center" vertical="center" wrapText="1"/>
    </xf>
    <xf numFmtId="0" fontId="242" fillId="8" borderId="42" xfId="0" applyFont="1" applyFill="1" applyBorder="1" applyAlignment="1">
      <alignment horizontal="center" vertical="center" wrapText="1"/>
    </xf>
    <xf numFmtId="172" fontId="361" fillId="25" borderId="40" xfId="0" applyNumberFormat="1" applyFont="1" applyFill="1" applyBorder="1" applyAlignment="1" applyProtection="1">
      <alignment horizontal="center" vertical="center" wrapText="1"/>
      <protection locked="0"/>
    </xf>
    <xf numFmtId="172" fontId="361" fillId="25" borderId="19" xfId="0" applyNumberFormat="1" applyFont="1" applyFill="1" applyBorder="1" applyAlignment="1" applyProtection="1">
      <alignment horizontal="center" vertical="center" wrapText="1"/>
      <protection locked="0"/>
    </xf>
    <xf numFmtId="172" fontId="361" fillId="25" borderId="54" xfId="0" applyNumberFormat="1" applyFont="1" applyFill="1" applyBorder="1" applyAlignment="1" applyProtection="1">
      <alignment horizontal="center" vertical="center"/>
      <protection locked="0"/>
    </xf>
    <xf numFmtId="172" fontId="361" fillId="25" borderId="12" xfId="0" applyNumberFormat="1" applyFont="1" applyFill="1" applyBorder="1" applyAlignment="1" applyProtection="1">
      <alignment horizontal="center" vertical="center"/>
      <protection locked="0"/>
    </xf>
    <xf numFmtId="0" fontId="111" fillId="25" borderId="0" xfId="0" applyFont="1" applyFill="1" applyAlignment="1">
      <alignment horizontal="right" vertical="center"/>
    </xf>
    <xf numFmtId="189" fontId="9" fillId="0" borderId="90" xfId="0" applyNumberFormat="1" applyFont="1" applyBorder="1" applyAlignment="1">
      <alignment horizontal="center" vertical="center" wrapText="1"/>
    </xf>
    <xf numFmtId="189" fontId="9" fillId="0" borderId="53" xfId="0" applyNumberFormat="1" applyFont="1" applyBorder="1" applyAlignment="1">
      <alignment horizontal="center" vertical="center" wrapText="1"/>
    </xf>
    <xf numFmtId="0" fontId="84" fillId="8" borderId="231" xfId="0" applyFont="1" applyFill="1" applyBorder="1" applyAlignment="1">
      <alignment horizontal="center" vertical="center" wrapText="1"/>
    </xf>
    <xf numFmtId="0" fontId="84" fillId="8" borderId="165" xfId="0" applyFont="1" applyFill="1" applyBorder="1" applyAlignment="1">
      <alignment horizontal="center" vertical="center" wrapText="1"/>
    </xf>
    <xf numFmtId="0" fontId="84" fillId="8" borderId="91" xfId="0" applyFont="1" applyFill="1" applyBorder="1" applyAlignment="1">
      <alignment horizontal="center" vertical="center" wrapText="1"/>
    </xf>
    <xf numFmtId="0" fontId="84" fillId="8" borderId="59" xfId="0" applyFont="1" applyFill="1" applyBorder="1" applyAlignment="1">
      <alignment horizontal="center" vertical="center" wrapText="1"/>
    </xf>
    <xf numFmtId="0" fontId="84" fillId="8" borderId="24" xfId="0" applyFont="1" applyFill="1" applyBorder="1" applyAlignment="1">
      <alignment horizontal="center" vertical="center" wrapText="1"/>
    </xf>
    <xf numFmtId="0" fontId="84" fillId="8" borderId="22" xfId="0" applyFont="1" applyFill="1" applyBorder="1" applyAlignment="1">
      <alignment horizontal="center" vertical="center" wrapText="1"/>
    </xf>
    <xf numFmtId="0" fontId="75" fillId="25" borderId="226" xfId="0" applyFont="1" applyFill="1" applyBorder="1" applyAlignment="1" applyProtection="1">
      <alignment horizontal="center" vertical="center"/>
      <protection locked="0"/>
    </xf>
    <xf numFmtId="0" fontId="75" fillId="25" borderId="136" xfId="0" applyFont="1" applyFill="1" applyBorder="1" applyAlignment="1" applyProtection="1">
      <alignment horizontal="center" vertical="center"/>
      <protection locked="0"/>
    </xf>
    <xf numFmtId="0" fontId="9" fillId="0" borderId="42" xfId="0" applyFont="1" applyBorder="1" applyAlignment="1">
      <alignment vertical="center" wrapText="1"/>
    </xf>
    <xf numFmtId="0" fontId="361" fillId="25" borderId="34" xfId="0" applyFont="1" applyFill="1" applyBorder="1" applyAlignment="1" applyProtection="1">
      <alignment horizontal="center" vertical="center" wrapText="1"/>
      <protection locked="0"/>
    </xf>
    <xf numFmtId="0" fontId="365" fillId="25" borderId="10" xfId="0" applyFont="1" applyFill="1" applyBorder="1" applyAlignment="1" applyProtection="1">
      <alignment horizontal="center" vertical="center" wrapText="1"/>
      <protection locked="0"/>
    </xf>
    <xf numFmtId="0" fontId="365" fillId="25" borderId="34" xfId="0" applyFont="1" applyFill="1" applyBorder="1" applyAlignment="1" applyProtection="1">
      <alignment horizontal="center" vertical="center" wrapText="1"/>
      <protection locked="0"/>
    </xf>
    <xf numFmtId="0" fontId="3" fillId="0" borderId="51" xfId="0" applyFont="1" applyBorder="1" applyAlignment="1">
      <alignment horizontal="center" vertical="center" wrapText="1"/>
    </xf>
    <xf numFmtId="0" fontId="3" fillId="0" borderId="163" xfId="0" applyFont="1" applyBorder="1" applyAlignment="1">
      <alignment horizontal="center" vertical="center" wrapText="1"/>
    </xf>
    <xf numFmtId="0" fontId="3" fillId="0" borderId="196" xfId="0" applyFont="1" applyBorder="1" applyAlignment="1">
      <alignment horizontal="center" vertical="center" wrapText="1"/>
    </xf>
    <xf numFmtId="0" fontId="13" fillId="3" borderId="184" xfId="0" applyFont="1" applyFill="1" applyBorder="1" applyAlignment="1">
      <alignment horizontal="center" vertical="center" wrapText="1"/>
    </xf>
    <xf numFmtId="0" fontId="13" fillId="3" borderId="63" xfId="0" applyFont="1" applyFill="1" applyBorder="1" applyAlignment="1">
      <alignment horizontal="center" vertical="center" wrapText="1"/>
    </xf>
    <xf numFmtId="0" fontId="13" fillId="3" borderId="91"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185" xfId="0" applyFont="1" applyFill="1" applyBorder="1" applyAlignment="1">
      <alignment horizontal="center" vertical="center" wrapText="1"/>
    </xf>
    <xf numFmtId="0" fontId="13" fillId="3" borderId="186" xfId="0" applyFont="1" applyFill="1" applyBorder="1" applyAlignment="1">
      <alignment horizontal="center" vertical="center" wrapText="1"/>
    </xf>
    <xf numFmtId="0" fontId="3" fillId="3" borderId="187" xfId="0" applyFont="1" applyFill="1" applyBorder="1" applyAlignment="1">
      <alignment horizontal="center" vertical="center" wrapText="1"/>
    </xf>
    <xf numFmtId="0" fontId="3" fillId="3" borderId="188" xfId="0" applyFont="1" applyFill="1" applyBorder="1" applyAlignment="1">
      <alignment horizontal="center" vertical="center" wrapText="1"/>
    </xf>
    <xf numFmtId="0" fontId="3" fillId="3" borderId="189" xfId="0" applyFont="1" applyFill="1" applyBorder="1" applyAlignment="1">
      <alignment horizontal="center" vertical="center" wrapText="1"/>
    </xf>
    <xf numFmtId="0" fontId="3" fillId="3" borderId="191" xfId="0" applyFont="1" applyFill="1" applyBorder="1" applyAlignment="1">
      <alignment horizontal="center" vertical="center" wrapText="1"/>
    </xf>
    <xf numFmtId="0" fontId="3" fillId="3" borderId="192" xfId="0" applyFont="1" applyFill="1" applyBorder="1" applyAlignment="1">
      <alignment horizontal="center" vertical="center" wrapText="1"/>
    </xf>
    <xf numFmtId="0" fontId="3" fillId="3" borderId="190" xfId="0" applyFont="1" applyFill="1" applyBorder="1" applyAlignment="1">
      <alignment horizontal="center" vertical="center" wrapText="1"/>
    </xf>
    <xf numFmtId="0" fontId="3" fillId="3" borderId="19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163" xfId="0" applyFont="1" applyFill="1" applyBorder="1" applyAlignment="1">
      <alignment horizontal="center" vertical="center" wrapText="1"/>
    </xf>
    <xf numFmtId="0" fontId="3" fillId="0" borderId="124" xfId="0" applyFont="1" applyBorder="1" applyAlignment="1">
      <alignment horizontal="right" vertical="center" wrapText="1"/>
    </xf>
    <xf numFmtId="0" fontId="3" fillId="0" borderId="194" xfId="0" applyFont="1" applyBorder="1" applyAlignment="1">
      <alignment horizontal="right" vertical="center" wrapText="1"/>
    </xf>
    <xf numFmtId="0" fontId="3" fillId="0" borderId="124" xfId="0" applyFont="1" applyBorder="1" applyAlignment="1">
      <alignment horizontal="center" vertical="center"/>
    </xf>
    <xf numFmtId="0" fontId="3" fillId="0" borderId="194" xfId="0" applyFont="1" applyBorder="1" applyAlignment="1">
      <alignment horizontal="center" vertical="center"/>
    </xf>
    <xf numFmtId="0" fontId="3" fillId="0" borderId="44" xfId="0" applyFont="1" applyBorder="1" applyAlignment="1">
      <alignment horizontal="center" vertical="center"/>
    </xf>
    <xf numFmtId="0" fontId="3" fillId="0" borderId="192" xfId="0" applyFont="1" applyBorder="1" applyAlignment="1">
      <alignment horizontal="center" vertical="center"/>
    </xf>
    <xf numFmtId="0" fontId="3" fillId="0" borderId="124" xfId="0" applyFont="1" applyBorder="1" applyAlignment="1">
      <alignment horizontal="center" vertical="center" wrapText="1"/>
    </xf>
    <xf numFmtId="0" fontId="3" fillId="0" borderId="194" xfId="0" applyFont="1" applyBorder="1" applyAlignment="1">
      <alignment horizontal="center" vertical="center" wrapText="1"/>
    </xf>
    <xf numFmtId="0" fontId="3" fillId="0" borderId="44" xfId="0" applyFont="1" applyBorder="1" applyAlignment="1">
      <alignment horizontal="right" vertical="center" wrapText="1"/>
    </xf>
    <xf numFmtId="0" fontId="3" fillId="0" borderId="192" xfId="0" applyFont="1" applyBorder="1" applyAlignment="1">
      <alignment horizontal="right" vertical="center" wrapText="1"/>
    </xf>
    <xf numFmtId="0" fontId="1" fillId="0" borderId="141"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141" xfId="0" applyFont="1" applyBorder="1" applyAlignment="1">
      <alignment horizontal="center" vertical="center"/>
    </xf>
    <xf numFmtId="0" fontId="1" fillId="0" borderId="83" xfId="0" applyFont="1" applyBorder="1" applyAlignment="1">
      <alignment horizontal="center" vertical="center"/>
    </xf>
    <xf numFmtId="0" fontId="1" fillId="0" borderId="51" xfId="0" applyFont="1" applyBorder="1" applyAlignment="1">
      <alignment horizontal="left" vertical="center" wrapText="1"/>
    </xf>
    <xf numFmtId="0" fontId="1" fillId="0" borderId="0" xfId="0" applyFont="1" applyAlignment="1">
      <alignment horizontal="left" vertical="center" wrapText="1"/>
    </xf>
    <xf numFmtId="0" fontId="1" fillId="0" borderId="28" xfId="0" applyFont="1" applyBorder="1" applyAlignment="1">
      <alignment horizontal="left" vertical="center" wrapText="1"/>
    </xf>
    <xf numFmtId="0" fontId="1" fillId="0" borderId="44" xfId="0" applyFont="1" applyBorder="1" applyAlignment="1">
      <alignment horizontal="left" vertical="center" wrapText="1"/>
    </xf>
    <xf numFmtId="0" fontId="1" fillId="0" borderId="24" xfId="0" applyFont="1" applyBorder="1" applyAlignment="1">
      <alignment horizontal="left" vertical="center" wrapText="1"/>
    </xf>
    <xf numFmtId="0" fontId="1" fillId="0" borderId="22" xfId="0" applyFont="1" applyBorder="1" applyAlignment="1">
      <alignment horizontal="left" vertical="center" wrapText="1"/>
    </xf>
    <xf numFmtId="0" fontId="1" fillId="0" borderId="104" xfId="0" applyFont="1" applyBorder="1" applyAlignment="1">
      <alignment horizontal="center" vertical="center"/>
    </xf>
    <xf numFmtId="0" fontId="1" fillId="0" borderId="124" xfId="0" applyFont="1" applyBorder="1" applyAlignment="1">
      <alignment horizontal="left" vertical="center" wrapText="1"/>
    </xf>
    <xf numFmtId="0" fontId="1" fillId="0" borderId="45" xfId="0" applyFont="1" applyBorder="1" applyAlignment="1">
      <alignment horizontal="left" vertical="center" wrapText="1"/>
    </xf>
    <xf numFmtId="0" fontId="1" fillId="0" borderId="92" xfId="0" applyFont="1" applyBorder="1" applyAlignment="1">
      <alignment horizontal="left" vertical="center" wrapText="1"/>
    </xf>
    <xf numFmtId="0" fontId="1" fillId="0" borderId="124" xfId="0" applyFont="1" applyBorder="1" applyAlignment="1">
      <alignment horizontal="left" vertical="center"/>
    </xf>
    <xf numFmtId="0" fontId="1" fillId="0" borderId="45" xfId="0" applyFont="1" applyBorder="1" applyAlignment="1">
      <alignment horizontal="left" vertical="center"/>
    </xf>
    <xf numFmtId="0" fontId="1" fillId="0" borderId="44" xfId="0" applyFont="1" applyBorder="1" applyAlignment="1">
      <alignment horizontal="left" vertical="center"/>
    </xf>
    <xf numFmtId="0" fontId="1" fillId="0" borderId="24" xfId="0" applyFont="1" applyBorder="1" applyAlignment="1">
      <alignment horizontal="left" vertical="center"/>
    </xf>
    <xf numFmtId="0" fontId="96" fillId="0" borderId="0" xfId="2" applyFont="1" applyAlignment="1">
      <alignment horizontal="center" vertical="center" wrapText="1"/>
    </xf>
    <xf numFmtId="0" fontId="257" fillId="0" borderId="51" xfId="0" applyFont="1" applyBorder="1" applyAlignment="1">
      <alignment vertical="center" wrapText="1"/>
    </xf>
    <xf numFmtId="0" fontId="257" fillId="0" borderId="0" xfId="0" applyFont="1" applyAlignment="1">
      <alignment vertical="center" wrapText="1"/>
    </xf>
    <xf numFmtId="0" fontId="257" fillId="0" borderId="28" xfId="0" applyFont="1" applyBorder="1" applyAlignment="1">
      <alignment vertical="center" wrapText="1"/>
    </xf>
    <xf numFmtId="0" fontId="257" fillId="0" borderId="44" xfId="0" applyFont="1" applyBorder="1" applyAlignment="1">
      <alignment vertical="center" wrapText="1"/>
    </xf>
    <xf numFmtId="0" fontId="257" fillId="0" borderId="24" xfId="0" applyFont="1" applyBorder="1" applyAlignment="1">
      <alignment vertical="center" wrapText="1"/>
    </xf>
    <xf numFmtId="0" fontId="257" fillId="0" borderId="22" xfId="0" applyFont="1" applyBorder="1" applyAlignment="1">
      <alignment vertical="center" wrapText="1"/>
    </xf>
    <xf numFmtId="0" fontId="408" fillId="0" borderId="0" xfId="0" applyFont="1" applyAlignment="1">
      <alignment vertical="center"/>
    </xf>
  </cellXfs>
  <cellStyles count="4">
    <cellStyle name="Hyperkobling" xfId="1" builtinId="8"/>
    <cellStyle name="Normal" xfId="0" builtinId="0"/>
    <cellStyle name="Normal 2" xfId="2" xr:uid="{00000000-0005-0000-0000-000002000000}"/>
    <cellStyle name="Normal 3" xfId="3" xr:uid="{00000000-0005-0000-0000-000003000000}"/>
  </cellStyles>
  <dxfs count="0"/>
  <tableStyles count="0" defaultTableStyle="TableStyleMedium9" defaultPivotStyle="PivotStyleLight16"/>
  <colors>
    <mruColors>
      <color rgb="FFFEFFF3"/>
      <color rgb="FFDFF4FD"/>
      <color rgb="FF0000FF"/>
      <color rgb="FF0066FF"/>
      <color rgb="FFFFF5EB"/>
      <color rgb="FFFDFFE7"/>
      <color rgb="FFFFFFCC"/>
      <color rgb="FFFDE9D9"/>
      <color rgb="FFEEECE1"/>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emf"/><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8.emf"/></Relationships>
</file>

<file path=xl/drawings/_rels/drawing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drawing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11</xdr:col>
      <xdr:colOff>245128</xdr:colOff>
      <xdr:row>8</xdr:row>
      <xdr:rowOff>269618</xdr:rowOff>
    </xdr:from>
    <xdr:to>
      <xdr:col>20</xdr:col>
      <xdr:colOff>395962</xdr:colOff>
      <xdr:row>33</xdr:row>
      <xdr:rowOff>36232</xdr:rowOff>
    </xdr:to>
    <xdr:pic>
      <xdr:nvPicPr>
        <xdr:cNvPr id="49" name="Bilde 48">
          <a:extLst>
            <a:ext uri="{FF2B5EF4-FFF2-40B4-BE49-F238E27FC236}">
              <a16:creationId xmlns:a16="http://schemas.microsoft.com/office/drawing/2014/main" id="{539C9145-ADB8-E632-DF1C-423134665AFB}"/>
            </a:ext>
          </a:extLst>
        </xdr:cNvPr>
        <xdr:cNvPicPr>
          <a:picLocks noChangeAspect="1"/>
        </xdr:cNvPicPr>
      </xdr:nvPicPr>
      <xdr:blipFill>
        <a:blip xmlns:r="http://schemas.openxmlformats.org/officeDocument/2006/relationships" r:embed="rId1"/>
        <a:stretch>
          <a:fillRect/>
        </a:stretch>
      </xdr:blipFill>
      <xdr:spPr>
        <a:xfrm>
          <a:off x="8642536" y="1726383"/>
          <a:ext cx="7021441" cy="4599150"/>
        </a:xfrm>
        <a:prstGeom prst="rect">
          <a:avLst/>
        </a:prstGeom>
      </xdr:spPr>
    </xdr:pic>
    <xdr:clientData/>
  </xdr:twoCellAnchor>
  <xdr:twoCellAnchor editAs="oneCell">
    <xdr:from>
      <xdr:col>0</xdr:col>
      <xdr:colOff>30239</xdr:colOff>
      <xdr:row>34</xdr:row>
      <xdr:rowOff>32283</xdr:rowOff>
    </xdr:from>
    <xdr:to>
      <xdr:col>11</xdr:col>
      <xdr:colOff>172252</xdr:colOff>
      <xdr:row>39</xdr:row>
      <xdr:rowOff>158750</xdr:rowOff>
    </xdr:to>
    <xdr:pic>
      <xdr:nvPicPr>
        <xdr:cNvPr id="3" name="Bilde 2">
          <a:extLst>
            <a:ext uri="{FF2B5EF4-FFF2-40B4-BE49-F238E27FC236}">
              <a16:creationId xmlns:a16="http://schemas.microsoft.com/office/drawing/2014/main" id="{31A2EA0F-7B66-D936-C954-9683E1F6806E}"/>
            </a:ext>
          </a:extLst>
        </xdr:cNvPr>
        <xdr:cNvPicPr>
          <a:picLocks noChangeAspect="1"/>
        </xdr:cNvPicPr>
      </xdr:nvPicPr>
      <xdr:blipFill>
        <a:blip xmlns:r="http://schemas.openxmlformats.org/officeDocument/2006/relationships" r:embed="rId2"/>
        <a:stretch>
          <a:fillRect/>
        </a:stretch>
      </xdr:blipFill>
      <xdr:spPr>
        <a:xfrm>
          <a:off x="30239" y="6482669"/>
          <a:ext cx="8539421" cy="1092974"/>
        </a:xfrm>
        <a:prstGeom prst="rect">
          <a:avLst/>
        </a:prstGeom>
      </xdr:spPr>
    </xdr:pic>
    <xdr:clientData/>
  </xdr:twoCellAnchor>
  <xdr:twoCellAnchor editAs="oneCell">
    <xdr:from>
      <xdr:col>0</xdr:col>
      <xdr:colOff>28864</xdr:colOff>
      <xdr:row>8</xdr:row>
      <xdr:rowOff>259772</xdr:rowOff>
    </xdr:from>
    <xdr:to>
      <xdr:col>11</xdr:col>
      <xdr:colOff>222122</xdr:colOff>
      <xdr:row>30</xdr:row>
      <xdr:rowOff>57727</xdr:rowOff>
    </xdr:to>
    <xdr:pic>
      <xdr:nvPicPr>
        <xdr:cNvPr id="16" name="Bilde 15">
          <a:extLst>
            <a:ext uri="{FF2B5EF4-FFF2-40B4-BE49-F238E27FC236}">
              <a16:creationId xmlns:a16="http://schemas.microsoft.com/office/drawing/2014/main" id="{4F6DD60E-CCF7-63DC-BED1-3DAC6A23C5CC}"/>
            </a:ext>
          </a:extLst>
        </xdr:cNvPr>
        <xdr:cNvPicPr>
          <a:picLocks noChangeAspect="1"/>
        </xdr:cNvPicPr>
      </xdr:nvPicPr>
      <xdr:blipFill>
        <a:blip xmlns:r="http://schemas.openxmlformats.org/officeDocument/2006/relationships" r:embed="rId3"/>
        <a:stretch>
          <a:fillRect/>
        </a:stretch>
      </xdr:blipFill>
      <xdr:spPr>
        <a:xfrm>
          <a:off x="28864" y="1702954"/>
          <a:ext cx="8607008" cy="4026478"/>
        </a:xfrm>
        <a:prstGeom prst="rect">
          <a:avLst/>
        </a:prstGeom>
      </xdr:spPr>
    </xdr:pic>
    <xdr:clientData/>
  </xdr:twoCellAnchor>
  <xdr:twoCellAnchor>
    <xdr:from>
      <xdr:col>1</xdr:col>
      <xdr:colOff>608212</xdr:colOff>
      <xdr:row>6</xdr:row>
      <xdr:rowOff>15875</xdr:rowOff>
    </xdr:from>
    <xdr:to>
      <xdr:col>4</xdr:col>
      <xdr:colOff>178593</xdr:colOff>
      <xdr:row>6</xdr:row>
      <xdr:rowOff>166291</xdr:rowOff>
    </xdr:to>
    <xdr:sp macro="" textlink="">
      <xdr:nvSpPr>
        <xdr:cNvPr id="14" name="TekstSylinder 13">
          <a:extLst>
            <a:ext uri="{FF2B5EF4-FFF2-40B4-BE49-F238E27FC236}">
              <a16:creationId xmlns:a16="http://schemas.microsoft.com/office/drawing/2014/main" id="{0A484A5D-A002-40F1-823A-BCCD5B313A72}"/>
            </a:ext>
          </a:extLst>
        </xdr:cNvPr>
        <xdr:cNvSpPr txBox="1"/>
      </xdr:nvSpPr>
      <xdr:spPr>
        <a:xfrm>
          <a:off x="1371928" y="1178611"/>
          <a:ext cx="1861530" cy="15041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900"/>
            <a:t> Text can be given in the light blue cells</a:t>
          </a:r>
        </a:p>
      </xdr:txBody>
    </xdr:sp>
    <xdr:clientData/>
  </xdr:twoCellAnchor>
  <xdr:twoCellAnchor>
    <xdr:from>
      <xdr:col>1</xdr:col>
      <xdr:colOff>654844</xdr:colOff>
      <xdr:row>6</xdr:row>
      <xdr:rowOff>166291</xdr:rowOff>
    </xdr:from>
    <xdr:to>
      <xdr:col>3</xdr:col>
      <xdr:colOff>11411</xdr:colOff>
      <xdr:row>13</xdr:row>
      <xdr:rowOff>104180</xdr:rowOff>
    </xdr:to>
    <xdr:cxnSp macro="">
      <xdr:nvCxnSpPr>
        <xdr:cNvPr id="21" name="Rett pilkobling 20">
          <a:extLst>
            <a:ext uri="{FF2B5EF4-FFF2-40B4-BE49-F238E27FC236}">
              <a16:creationId xmlns:a16="http://schemas.microsoft.com/office/drawing/2014/main" id="{EE8FD0FD-73A8-4C6A-9DBE-6417C5DA46C9}"/>
            </a:ext>
          </a:extLst>
        </xdr:cNvPr>
        <xdr:cNvCxnSpPr>
          <a:stCxn id="14" idx="2"/>
        </xdr:cNvCxnSpPr>
      </xdr:nvCxnSpPr>
      <xdr:spPr bwMode="auto">
        <a:xfrm flipH="1">
          <a:off x="1418560" y="1329027"/>
          <a:ext cx="884000" cy="1293700"/>
        </a:xfrm>
        <a:prstGeom prst="straightConnector1">
          <a:avLst/>
        </a:prstGeom>
        <a:solidFill>
          <a:srgbClr val="FFFFFF"/>
        </a:solidFill>
        <a:ln w="9525" cap="flat" cmpd="sng" algn="ctr">
          <a:solidFill>
            <a:srgbClr val="FF0000"/>
          </a:solidFill>
          <a:prstDash val="solid"/>
          <a:round/>
          <a:headEnd type="none" w="med" len="med"/>
          <a:tailEnd type="oval" w="med" len="med"/>
        </a:ln>
        <a:effectLst/>
      </xdr:spPr>
    </xdr:cxnSp>
    <xdr:clientData/>
  </xdr:twoCellAnchor>
  <xdr:twoCellAnchor>
    <xdr:from>
      <xdr:col>3</xdr:col>
      <xdr:colOff>337489</xdr:colOff>
      <xdr:row>4</xdr:row>
      <xdr:rowOff>74414</xdr:rowOff>
    </xdr:from>
    <xdr:to>
      <xdr:col>6</xdr:col>
      <xdr:colOff>489889</xdr:colOff>
      <xdr:row>5</xdr:row>
      <xdr:rowOff>72628</xdr:rowOff>
    </xdr:to>
    <xdr:sp macro="" textlink="">
      <xdr:nvSpPr>
        <xdr:cNvPr id="22" name="TekstSylinder 21">
          <a:extLst>
            <a:ext uri="{FF2B5EF4-FFF2-40B4-BE49-F238E27FC236}">
              <a16:creationId xmlns:a16="http://schemas.microsoft.com/office/drawing/2014/main" id="{2BE524C6-86FB-4B0D-B13D-4E73738430AC}"/>
            </a:ext>
          </a:extLst>
        </xdr:cNvPr>
        <xdr:cNvSpPr txBox="1"/>
      </xdr:nvSpPr>
      <xdr:spPr>
        <a:xfrm>
          <a:off x="2629442" y="888008"/>
          <a:ext cx="2444353" cy="1619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900" baseline="0"/>
            <a:t> Classification and ratings of the input parameter DJ</a:t>
          </a:r>
          <a:endParaRPr lang="nb-NO" sz="900"/>
        </a:p>
      </xdr:txBody>
    </xdr:sp>
    <xdr:clientData/>
  </xdr:twoCellAnchor>
  <xdr:twoCellAnchor>
    <xdr:from>
      <xdr:col>10</xdr:col>
      <xdr:colOff>255048</xdr:colOff>
      <xdr:row>30</xdr:row>
      <xdr:rowOff>50611</xdr:rowOff>
    </xdr:from>
    <xdr:to>
      <xdr:col>10</xdr:col>
      <xdr:colOff>257754</xdr:colOff>
      <xdr:row>31</xdr:row>
      <xdr:rowOff>7745</xdr:rowOff>
    </xdr:to>
    <xdr:cxnSp macro="">
      <xdr:nvCxnSpPr>
        <xdr:cNvPr id="29" name="Rett pilkobling 28">
          <a:extLst>
            <a:ext uri="{FF2B5EF4-FFF2-40B4-BE49-F238E27FC236}">
              <a16:creationId xmlns:a16="http://schemas.microsoft.com/office/drawing/2014/main" id="{14B24A6F-103D-445E-9C6D-87A140447859}"/>
            </a:ext>
          </a:extLst>
        </xdr:cNvPr>
        <xdr:cNvCxnSpPr/>
      </xdr:nvCxnSpPr>
      <xdr:spPr bwMode="auto">
        <a:xfrm flipV="1">
          <a:off x="7890167" y="5765611"/>
          <a:ext cx="2706" cy="146122"/>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twoCellAnchor>
    <xdr:from>
      <xdr:col>9</xdr:col>
      <xdr:colOff>410702</xdr:colOff>
      <xdr:row>30</xdr:row>
      <xdr:rowOff>188744</xdr:rowOff>
    </xdr:from>
    <xdr:to>
      <xdr:col>10</xdr:col>
      <xdr:colOff>259136</xdr:colOff>
      <xdr:row>31</xdr:row>
      <xdr:rowOff>7004</xdr:rowOff>
    </xdr:to>
    <xdr:cxnSp macro="">
      <xdr:nvCxnSpPr>
        <xdr:cNvPr id="30" name="Rett pilkobling 29">
          <a:extLst>
            <a:ext uri="{FF2B5EF4-FFF2-40B4-BE49-F238E27FC236}">
              <a16:creationId xmlns:a16="http://schemas.microsoft.com/office/drawing/2014/main" id="{A89BFC5D-F9C7-4388-AC77-84315B18960E}"/>
            </a:ext>
          </a:extLst>
        </xdr:cNvPr>
        <xdr:cNvCxnSpPr/>
      </xdr:nvCxnSpPr>
      <xdr:spPr bwMode="auto">
        <a:xfrm>
          <a:off x="7281309" y="5910748"/>
          <a:ext cx="611834" cy="7359"/>
        </a:xfrm>
        <a:prstGeom prst="straightConnector1">
          <a:avLst/>
        </a:prstGeom>
        <a:solidFill>
          <a:srgbClr val="FFFFFF"/>
        </a:solidFill>
        <a:ln w="9525" cap="flat" cmpd="sng" algn="ctr">
          <a:solidFill>
            <a:srgbClr val="FF0000"/>
          </a:solidFill>
          <a:prstDash val="solid"/>
          <a:round/>
          <a:headEnd type="none" w="med" len="med"/>
          <a:tailEnd type="none" w="med" len="med"/>
        </a:ln>
        <a:effectLst/>
      </xdr:spPr>
    </xdr:cxnSp>
    <xdr:clientData/>
  </xdr:twoCellAnchor>
  <xdr:twoCellAnchor>
    <xdr:from>
      <xdr:col>7</xdr:col>
      <xdr:colOff>638573</xdr:colOff>
      <xdr:row>6</xdr:row>
      <xdr:rowOff>172245</xdr:rowOff>
    </xdr:from>
    <xdr:to>
      <xdr:col>8</xdr:col>
      <xdr:colOff>645682</xdr:colOff>
      <xdr:row>16</xdr:row>
      <xdr:rowOff>29544</xdr:rowOff>
    </xdr:to>
    <xdr:cxnSp macro="">
      <xdr:nvCxnSpPr>
        <xdr:cNvPr id="31" name="Rett pilkobling 30">
          <a:extLst>
            <a:ext uri="{FF2B5EF4-FFF2-40B4-BE49-F238E27FC236}">
              <a16:creationId xmlns:a16="http://schemas.microsoft.com/office/drawing/2014/main" id="{99710D0C-41D0-4269-ACAA-4F7EF9853374}"/>
            </a:ext>
          </a:extLst>
        </xdr:cNvPr>
        <xdr:cNvCxnSpPr>
          <a:stCxn id="23" idx="2"/>
          <a:endCxn id="40" idx="0"/>
        </xdr:cNvCxnSpPr>
      </xdr:nvCxnSpPr>
      <xdr:spPr bwMode="auto">
        <a:xfrm>
          <a:off x="5984587" y="1334981"/>
          <a:ext cx="770825" cy="1779462"/>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twoCellAnchor>
    <xdr:from>
      <xdr:col>9</xdr:col>
      <xdr:colOff>351824</xdr:colOff>
      <xdr:row>8</xdr:row>
      <xdr:rowOff>168991</xdr:rowOff>
    </xdr:from>
    <xdr:to>
      <xdr:col>10</xdr:col>
      <xdr:colOff>558938</xdr:colOff>
      <xdr:row>17</xdr:row>
      <xdr:rowOff>17163</xdr:rowOff>
    </xdr:to>
    <xdr:cxnSp macro="">
      <xdr:nvCxnSpPr>
        <xdr:cNvPr id="32" name="Rett pilkobling 31">
          <a:extLst>
            <a:ext uri="{FF2B5EF4-FFF2-40B4-BE49-F238E27FC236}">
              <a16:creationId xmlns:a16="http://schemas.microsoft.com/office/drawing/2014/main" id="{FDECF6DB-609E-406E-9F9B-FB3BBF5D1CE3}"/>
            </a:ext>
          </a:extLst>
        </xdr:cNvPr>
        <xdr:cNvCxnSpPr>
          <a:stCxn id="48" idx="2"/>
        </xdr:cNvCxnSpPr>
      </xdr:nvCxnSpPr>
      <xdr:spPr bwMode="auto">
        <a:xfrm flipH="1">
          <a:off x="7225270" y="1636356"/>
          <a:ext cx="970830" cy="1654489"/>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twoCellAnchor>
    <xdr:from>
      <xdr:col>9</xdr:col>
      <xdr:colOff>218481</xdr:colOff>
      <xdr:row>8</xdr:row>
      <xdr:rowOff>119062</xdr:rowOff>
    </xdr:from>
    <xdr:to>
      <xdr:col>9</xdr:col>
      <xdr:colOff>227806</xdr:colOff>
      <xdr:row>12</xdr:row>
      <xdr:rowOff>134796</xdr:rowOff>
    </xdr:to>
    <xdr:cxnSp macro="">
      <xdr:nvCxnSpPr>
        <xdr:cNvPr id="33" name="Rett pilkobling 32">
          <a:extLst>
            <a:ext uri="{FF2B5EF4-FFF2-40B4-BE49-F238E27FC236}">
              <a16:creationId xmlns:a16="http://schemas.microsoft.com/office/drawing/2014/main" id="{C2692713-C4A4-4692-AFBB-F406E7A23D5B}"/>
            </a:ext>
          </a:extLst>
        </xdr:cNvPr>
        <xdr:cNvCxnSpPr>
          <a:stCxn id="24" idx="2"/>
        </xdr:cNvCxnSpPr>
      </xdr:nvCxnSpPr>
      <xdr:spPr bwMode="auto">
        <a:xfrm>
          <a:off x="7094340" y="1587500"/>
          <a:ext cx="9325" cy="878937"/>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twoCellAnchor>
    <xdr:from>
      <xdr:col>5</xdr:col>
      <xdr:colOff>24805</xdr:colOff>
      <xdr:row>5</xdr:row>
      <xdr:rowOff>72628</xdr:rowOff>
    </xdr:from>
    <xdr:to>
      <xdr:col>5</xdr:col>
      <xdr:colOff>31697</xdr:colOff>
      <xdr:row>15</xdr:row>
      <xdr:rowOff>158750</xdr:rowOff>
    </xdr:to>
    <xdr:cxnSp macro="">
      <xdr:nvCxnSpPr>
        <xdr:cNvPr id="34" name="Rett pilkobling 33">
          <a:extLst>
            <a:ext uri="{FF2B5EF4-FFF2-40B4-BE49-F238E27FC236}">
              <a16:creationId xmlns:a16="http://schemas.microsoft.com/office/drawing/2014/main" id="{AB23DF51-ACD0-437D-BF12-6DA76DE5CDAD}"/>
            </a:ext>
          </a:extLst>
        </xdr:cNvPr>
        <xdr:cNvCxnSpPr>
          <a:stCxn id="22" idx="2"/>
        </xdr:cNvCxnSpPr>
      </xdr:nvCxnSpPr>
      <xdr:spPr bwMode="auto">
        <a:xfrm flipH="1">
          <a:off x="3844727" y="1049933"/>
          <a:ext cx="6892" cy="2006005"/>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twoCellAnchor>
    <xdr:from>
      <xdr:col>2</xdr:col>
      <xdr:colOff>570642</xdr:colOff>
      <xdr:row>16</xdr:row>
      <xdr:rowOff>2823</xdr:rowOff>
    </xdr:from>
    <xdr:to>
      <xdr:col>7</xdr:col>
      <xdr:colOff>173632</xdr:colOff>
      <xdr:row>16</xdr:row>
      <xdr:rowOff>128716</xdr:rowOff>
    </xdr:to>
    <xdr:sp macro="" textlink="">
      <xdr:nvSpPr>
        <xdr:cNvPr id="35" name="Rektangel 34">
          <a:extLst>
            <a:ext uri="{FF2B5EF4-FFF2-40B4-BE49-F238E27FC236}">
              <a16:creationId xmlns:a16="http://schemas.microsoft.com/office/drawing/2014/main" id="{FDA16F19-1050-4093-947F-A60B0B7145D4}"/>
            </a:ext>
          </a:extLst>
        </xdr:cNvPr>
        <xdr:cNvSpPr/>
      </xdr:nvSpPr>
      <xdr:spPr bwMode="auto">
        <a:xfrm>
          <a:off x="2098074" y="3087722"/>
          <a:ext cx="3421572" cy="125893"/>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8</xdr:col>
      <xdr:colOff>463976</xdr:colOff>
      <xdr:row>16</xdr:row>
      <xdr:rowOff>29544</xdr:rowOff>
    </xdr:from>
    <xdr:to>
      <xdr:col>9</xdr:col>
      <xdr:colOff>63672</xdr:colOff>
      <xdr:row>17</xdr:row>
      <xdr:rowOff>29545</xdr:rowOff>
    </xdr:to>
    <xdr:sp macro="" textlink="">
      <xdr:nvSpPr>
        <xdr:cNvPr id="40" name="Ellipse 39">
          <a:extLst>
            <a:ext uri="{FF2B5EF4-FFF2-40B4-BE49-F238E27FC236}">
              <a16:creationId xmlns:a16="http://schemas.microsoft.com/office/drawing/2014/main" id="{D37281B6-0219-44CE-8AAB-190A73CF8E4B}"/>
            </a:ext>
          </a:extLst>
        </xdr:cNvPr>
        <xdr:cNvSpPr/>
      </xdr:nvSpPr>
      <xdr:spPr bwMode="auto">
        <a:xfrm>
          <a:off x="6573706" y="3114443"/>
          <a:ext cx="363412" cy="188784"/>
        </a:xfrm>
        <a:prstGeom prst="ellipse">
          <a:avLst/>
        </a:prstGeom>
        <a:noFill/>
        <a:ln w="19050">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lang="nb-NO" sz="1100"/>
        </a:p>
      </xdr:txBody>
    </xdr:sp>
    <xdr:clientData/>
  </xdr:twoCellAnchor>
  <xdr:twoCellAnchor>
    <xdr:from>
      <xdr:col>8</xdr:col>
      <xdr:colOff>741364</xdr:colOff>
      <xdr:row>17</xdr:row>
      <xdr:rowOff>12872</xdr:rowOff>
    </xdr:from>
    <xdr:to>
      <xdr:col>9</xdr:col>
      <xdr:colOff>476922</xdr:colOff>
      <xdr:row>18</xdr:row>
      <xdr:rowOff>182095</xdr:rowOff>
    </xdr:to>
    <xdr:sp macro="" textlink="">
      <xdr:nvSpPr>
        <xdr:cNvPr id="46" name="Ellipse 45">
          <a:extLst>
            <a:ext uri="{FF2B5EF4-FFF2-40B4-BE49-F238E27FC236}">
              <a16:creationId xmlns:a16="http://schemas.microsoft.com/office/drawing/2014/main" id="{B4300224-B7C1-4A39-BEFB-BA9F5AE93159}"/>
            </a:ext>
          </a:extLst>
        </xdr:cNvPr>
        <xdr:cNvSpPr/>
      </xdr:nvSpPr>
      <xdr:spPr bwMode="auto">
        <a:xfrm>
          <a:off x="6848570" y="3276585"/>
          <a:ext cx="498959" cy="358323"/>
        </a:xfrm>
        <a:prstGeom prst="ellipse">
          <a:avLst/>
        </a:prstGeom>
        <a:noFill/>
        <a:ln w="12700">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lang="nb-NO" sz="1100"/>
        </a:p>
      </xdr:txBody>
    </xdr:sp>
    <xdr:clientData/>
  </xdr:twoCellAnchor>
  <xdr:twoCellAnchor>
    <xdr:from>
      <xdr:col>10</xdr:col>
      <xdr:colOff>113462</xdr:colOff>
      <xdr:row>4</xdr:row>
      <xdr:rowOff>53771</xdr:rowOff>
    </xdr:from>
    <xdr:to>
      <xdr:col>11</xdr:col>
      <xdr:colOff>240697</xdr:colOff>
      <xdr:row>8</xdr:row>
      <xdr:rowOff>168991</xdr:rowOff>
    </xdr:to>
    <xdr:sp macro="" textlink="">
      <xdr:nvSpPr>
        <xdr:cNvPr id="48" name="TekstSylinder 47">
          <a:extLst>
            <a:ext uri="{FF2B5EF4-FFF2-40B4-BE49-F238E27FC236}">
              <a16:creationId xmlns:a16="http://schemas.microsoft.com/office/drawing/2014/main" id="{A4187A8D-09ED-4D74-AC53-E892E1E2A81A}"/>
            </a:ext>
          </a:extLst>
        </xdr:cNvPr>
        <xdr:cNvSpPr txBox="1"/>
      </xdr:nvSpPr>
      <xdr:spPr>
        <a:xfrm>
          <a:off x="7753306" y="867365"/>
          <a:ext cx="891219" cy="7700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r>
            <a:rPr lang="nb-NO" sz="800"/>
            <a:t>Additional input of one or more of these 3 parameters gives more accurate value for the </a:t>
          </a:r>
          <a:r>
            <a:rPr lang="nb-NO" sz="800" i="1"/>
            <a:t>Degree of jointing </a:t>
          </a:r>
          <a:r>
            <a:rPr lang="nb-NO" sz="800"/>
            <a:t>(DJ) </a:t>
          </a:r>
        </a:p>
      </xdr:txBody>
    </xdr:sp>
    <xdr:clientData/>
  </xdr:twoCellAnchor>
  <xdr:twoCellAnchor>
    <xdr:from>
      <xdr:col>7</xdr:col>
      <xdr:colOff>321871</xdr:colOff>
      <xdr:row>30</xdr:row>
      <xdr:rowOff>87334</xdr:rowOff>
    </xdr:from>
    <xdr:to>
      <xdr:col>9</xdr:col>
      <xdr:colOff>410702</xdr:colOff>
      <xdr:row>31</xdr:row>
      <xdr:rowOff>143076</xdr:rowOff>
    </xdr:to>
    <xdr:sp macro="" textlink="">
      <xdr:nvSpPr>
        <xdr:cNvPr id="50" name="TekstSylinder 49">
          <a:extLst>
            <a:ext uri="{FF2B5EF4-FFF2-40B4-BE49-F238E27FC236}">
              <a16:creationId xmlns:a16="http://schemas.microsoft.com/office/drawing/2014/main" id="{1DB1029F-157B-45B9-B5DA-B19CFAAF6C1C}"/>
            </a:ext>
          </a:extLst>
        </xdr:cNvPr>
        <xdr:cNvSpPr txBox="1"/>
      </xdr:nvSpPr>
      <xdr:spPr>
        <a:xfrm>
          <a:off x="5665676" y="5809338"/>
          <a:ext cx="1615633" cy="244841"/>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nb-NO" sz="700"/>
            <a:t>The spreadsheet applies assumed, common conditions where no input has been given</a:t>
          </a:r>
        </a:p>
      </xdr:txBody>
    </xdr:sp>
    <xdr:clientData/>
  </xdr:twoCellAnchor>
  <xdr:twoCellAnchor>
    <xdr:from>
      <xdr:col>6</xdr:col>
      <xdr:colOff>524273</xdr:colOff>
      <xdr:row>6</xdr:row>
      <xdr:rowOff>1</xdr:rowOff>
    </xdr:from>
    <xdr:to>
      <xdr:col>8</xdr:col>
      <xdr:colOff>752873</xdr:colOff>
      <xdr:row>6</xdr:row>
      <xdr:rowOff>172245</xdr:rowOff>
    </xdr:to>
    <xdr:sp macro="" textlink="">
      <xdr:nvSpPr>
        <xdr:cNvPr id="23" name="TekstSylinder 22">
          <a:extLst>
            <a:ext uri="{FF2B5EF4-FFF2-40B4-BE49-F238E27FC236}">
              <a16:creationId xmlns:a16="http://schemas.microsoft.com/office/drawing/2014/main" id="{3484E7D6-8707-46B1-A374-66890C1E5F4C}"/>
            </a:ext>
          </a:extLst>
        </xdr:cNvPr>
        <xdr:cNvSpPr txBox="1"/>
      </xdr:nvSpPr>
      <xdr:spPr>
        <a:xfrm>
          <a:off x="5108179" y="1165821"/>
          <a:ext cx="1756569" cy="17224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900"/>
            <a:t> </a:t>
          </a:r>
          <a:r>
            <a:rPr lang="nb-NO" sz="900" b="1">
              <a:solidFill>
                <a:srgbClr val="FF0000"/>
              </a:solidFill>
            </a:rPr>
            <a:t>Input of the rating for DJ is required</a:t>
          </a:r>
        </a:p>
      </xdr:txBody>
    </xdr:sp>
    <xdr:clientData/>
  </xdr:twoCellAnchor>
  <xdr:twoCellAnchor>
    <xdr:from>
      <xdr:col>8</xdr:col>
      <xdr:colOff>343298</xdr:colOff>
      <xdr:row>7</xdr:row>
      <xdr:rowOff>89495</xdr:rowOff>
    </xdr:from>
    <xdr:to>
      <xdr:col>10</xdr:col>
      <xdr:colOff>93663</xdr:colOff>
      <xdr:row>8</xdr:row>
      <xdr:rowOff>119062</xdr:rowOff>
    </xdr:to>
    <xdr:sp macro="" textlink="">
      <xdr:nvSpPr>
        <xdr:cNvPr id="24" name="TekstSylinder 23">
          <a:extLst>
            <a:ext uri="{FF2B5EF4-FFF2-40B4-BE49-F238E27FC236}">
              <a16:creationId xmlns:a16="http://schemas.microsoft.com/office/drawing/2014/main" id="{C6F9CF25-7171-4682-897C-FA0610AC2F69}"/>
            </a:ext>
          </a:extLst>
        </xdr:cNvPr>
        <xdr:cNvSpPr txBox="1"/>
      </xdr:nvSpPr>
      <xdr:spPr>
        <a:xfrm>
          <a:off x="6455173" y="1443831"/>
          <a:ext cx="1278334" cy="14366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900"/>
            <a:t> input of parameter ratings</a:t>
          </a:r>
        </a:p>
      </xdr:txBody>
    </xdr:sp>
    <xdr:clientData/>
  </xdr:twoCellAnchor>
  <xdr:twoCellAnchor>
    <xdr:from>
      <xdr:col>14</xdr:col>
      <xdr:colOff>548625</xdr:colOff>
      <xdr:row>9</xdr:row>
      <xdr:rowOff>28919</xdr:rowOff>
    </xdr:from>
    <xdr:to>
      <xdr:col>16</xdr:col>
      <xdr:colOff>686359</xdr:colOff>
      <xdr:row>10</xdr:row>
      <xdr:rowOff>133363</xdr:rowOff>
    </xdr:to>
    <xdr:sp macro="" textlink="">
      <xdr:nvSpPr>
        <xdr:cNvPr id="25" name="Ellipse 24">
          <a:extLst>
            <a:ext uri="{FF2B5EF4-FFF2-40B4-BE49-F238E27FC236}">
              <a16:creationId xmlns:a16="http://schemas.microsoft.com/office/drawing/2014/main" id="{EBA187F1-B9E0-4AD6-A767-97B01FDADE4B}"/>
            </a:ext>
          </a:extLst>
        </xdr:cNvPr>
        <xdr:cNvSpPr/>
      </xdr:nvSpPr>
      <xdr:spPr bwMode="auto">
        <a:xfrm>
          <a:off x="11236235" y="1779838"/>
          <a:ext cx="1664536" cy="293543"/>
        </a:xfrm>
        <a:prstGeom prst="ellipse">
          <a:avLst/>
        </a:prstGeom>
        <a:noFill/>
        <a:ln w="19050">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lang="nb-NO" sz="1100"/>
        </a:p>
      </xdr:txBody>
    </xdr:sp>
    <xdr:clientData/>
  </xdr:twoCellAnchor>
  <xdr:twoCellAnchor>
    <xdr:from>
      <xdr:col>11</xdr:col>
      <xdr:colOff>669979</xdr:colOff>
      <xdr:row>3</xdr:row>
      <xdr:rowOff>20515</xdr:rowOff>
    </xdr:from>
    <xdr:to>
      <xdr:col>11</xdr:col>
      <xdr:colOff>746935</xdr:colOff>
      <xdr:row>11</xdr:row>
      <xdr:rowOff>96864</xdr:rowOff>
    </xdr:to>
    <xdr:cxnSp macro="">
      <xdr:nvCxnSpPr>
        <xdr:cNvPr id="7" name="Rett linje 6">
          <a:extLst>
            <a:ext uri="{FF2B5EF4-FFF2-40B4-BE49-F238E27FC236}">
              <a16:creationId xmlns:a16="http://schemas.microsoft.com/office/drawing/2014/main" id="{F7FD38A7-CA15-8984-80A9-49B1E4317077}"/>
            </a:ext>
          </a:extLst>
        </xdr:cNvPr>
        <xdr:cNvCxnSpPr>
          <a:stCxn id="39" idx="2"/>
        </xdr:cNvCxnSpPr>
      </xdr:nvCxnSpPr>
      <xdr:spPr bwMode="auto">
        <a:xfrm flipH="1">
          <a:off x="9066841" y="669026"/>
          <a:ext cx="76956" cy="1569274"/>
        </a:xfrm>
        <a:prstGeom prst="line">
          <a:avLst/>
        </a:prstGeom>
        <a:solidFill>
          <a:srgbClr val="FFFFFF"/>
        </a:solidFill>
        <a:ln w="9525" cap="flat" cmpd="sng" algn="ctr">
          <a:solidFill>
            <a:srgbClr val="FF0000"/>
          </a:solidFill>
          <a:prstDash val="solid"/>
          <a:round/>
          <a:headEnd type="none" w="med" len="med"/>
          <a:tailEnd type="triangle" w="med" len="med"/>
        </a:ln>
        <a:effectLst/>
      </xdr:spPr>
    </xdr:cxnSp>
    <xdr:clientData/>
  </xdr:twoCellAnchor>
  <xdr:twoCellAnchor>
    <xdr:from>
      <xdr:col>7</xdr:col>
      <xdr:colOff>296047</xdr:colOff>
      <xdr:row>32</xdr:row>
      <xdr:rowOff>37798</xdr:rowOff>
    </xdr:from>
    <xdr:to>
      <xdr:col>10</xdr:col>
      <xdr:colOff>266015</xdr:colOff>
      <xdr:row>33</xdr:row>
      <xdr:rowOff>10409</xdr:rowOff>
    </xdr:to>
    <xdr:sp macro="" textlink="">
      <xdr:nvSpPr>
        <xdr:cNvPr id="12" name="TekstSylinder 11">
          <a:extLst>
            <a:ext uri="{FF2B5EF4-FFF2-40B4-BE49-F238E27FC236}">
              <a16:creationId xmlns:a16="http://schemas.microsoft.com/office/drawing/2014/main" id="{D370AA54-73CF-4010-94EE-212E5D710ABF}"/>
            </a:ext>
          </a:extLst>
        </xdr:cNvPr>
        <xdr:cNvSpPr txBox="1"/>
      </xdr:nvSpPr>
      <xdr:spPr>
        <a:xfrm>
          <a:off x="5642061" y="6143237"/>
          <a:ext cx="2261116" cy="16139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900"/>
            <a:t> </a:t>
          </a:r>
          <a:r>
            <a:rPr lang="nb-NO" sz="900" b="1">
              <a:solidFill>
                <a:srgbClr val="FF0000"/>
              </a:solidFill>
            </a:rPr>
            <a:t>Input of SRFz is required for zone calculations</a:t>
          </a:r>
        </a:p>
      </xdr:txBody>
    </xdr:sp>
    <xdr:clientData/>
  </xdr:twoCellAnchor>
  <xdr:twoCellAnchor>
    <xdr:from>
      <xdr:col>9</xdr:col>
      <xdr:colOff>195995</xdr:colOff>
      <xdr:row>33</xdr:row>
      <xdr:rowOff>27116</xdr:rowOff>
    </xdr:from>
    <xdr:to>
      <xdr:col>9</xdr:col>
      <xdr:colOff>200956</xdr:colOff>
      <xdr:row>34</xdr:row>
      <xdr:rowOff>32078</xdr:rowOff>
    </xdr:to>
    <xdr:cxnSp macro="">
      <xdr:nvCxnSpPr>
        <xdr:cNvPr id="15" name="Rett pilkobling 14">
          <a:extLst>
            <a:ext uri="{FF2B5EF4-FFF2-40B4-BE49-F238E27FC236}">
              <a16:creationId xmlns:a16="http://schemas.microsoft.com/office/drawing/2014/main" id="{86E27634-673F-6F2D-3947-E48D7C7C3269}"/>
            </a:ext>
          </a:extLst>
        </xdr:cNvPr>
        <xdr:cNvCxnSpPr/>
      </xdr:nvCxnSpPr>
      <xdr:spPr bwMode="auto">
        <a:xfrm flipH="1">
          <a:off x="7066155" y="6329829"/>
          <a:ext cx="4961" cy="167089"/>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twoCellAnchor>
    <xdr:from>
      <xdr:col>3</xdr:col>
      <xdr:colOff>11411</xdr:colOff>
      <xdr:row>6</xdr:row>
      <xdr:rowOff>166291</xdr:rowOff>
    </xdr:from>
    <xdr:to>
      <xdr:col>3</xdr:col>
      <xdr:colOff>406797</xdr:colOff>
      <xdr:row>13</xdr:row>
      <xdr:rowOff>19844</xdr:rowOff>
    </xdr:to>
    <xdr:cxnSp macro="">
      <xdr:nvCxnSpPr>
        <xdr:cNvPr id="6" name="Rett pilkobling 5">
          <a:extLst>
            <a:ext uri="{FF2B5EF4-FFF2-40B4-BE49-F238E27FC236}">
              <a16:creationId xmlns:a16="http://schemas.microsoft.com/office/drawing/2014/main" id="{A7B3E3D0-84E6-4ACD-91AC-A85F24571121}"/>
            </a:ext>
          </a:extLst>
        </xdr:cNvPr>
        <xdr:cNvCxnSpPr>
          <a:stCxn id="14" idx="2"/>
        </xdr:cNvCxnSpPr>
      </xdr:nvCxnSpPr>
      <xdr:spPr bwMode="auto">
        <a:xfrm>
          <a:off x="2302560" y="1329027"/>
          <a:ext cx="395386" cy="1209364"/>
        </a:xfrm>
        <a:prstGeom prst="straightConnector1">
          <a:avLst/>
        </a:prstGeom>
        <a:solidFill>
          <a:srgbClr val="FFFFFF"/>
        </a:solidFill>
        <a:ln w="9525" cap="flat" cmpd="sng" algn="ctr">
          <a:solidFill>
            <a:srgbClr val="FF0000"/>
          </a:solidFill>
          <a:prstDash val="solid"/>
          <a:round/>
          <a:headEnd type="none" w="med" len="med"/>
          <a:tailEnd type="oval" w="med" len="med"/>
        </a:ln>
        <a:effectLst/>
      </xdr:spPr>
    </xdr:cxnSp>
    <xdr:clientData/>
  </xdr:twoCellAnchor>
  <xdr:twoCellAnchor>
    <xdr:from>
      <xdr:col>1</xdr:col>
      <xdr:colOff>55777</xdr:colOff>
      <xdr:row>11</xdr:row>
      <xdr:rowOff>21452</xdr:rowOff>
    </xdr:from>
    <xdr:to>
      <xdr:col>1</xdr:col>
      <xdr:colOff>630710</xdr:colOff>
      <xdr:row>12</xdr:row>
      <xdr:rowOff>25743</xdr:rowOff>
    </xdr:to>
    <xdr:sp macro="" textlink="">
      <xdr:nvSpPr>
        <xdr:cNvPr id="17" name="Ellipse 16">
          <a:extLst>
            <a:ext uri="{FF2B5EF4-FFF2-40B4-BE49-F238E27FC236}">
              <a16:creationId xmlns:a16="http://schemas.microsoft.com/office/drawing/2014/main" id="{A5518CBF-8139-B074-4A93-DD127945B72C}"/>
            </a:ext>
          </a:extLst>
        </xdr:cNvPr>
        <xdr:cNvSpPr/>
      </xdr:nvSpPr>
      <xdr:spPr bwMode="auto">
        <a:xfrm>
          <a:off x="819493" y="2162432"/>
          <a:ext cx="574933" cy="193075"/>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0</xdr:col>
      <xdr:colOff>87265</xdr:colOff>
      <xdr:row>4</xdr:row>
      <xdr:rowOff>132743</xdr:rowOff>
    </xdr:from>
    <xdr:to>
      <xdr:col>2</xdr:col>
      <xdr:colOff>205946</xdr:colOff>
      <xdr:row>5</xdr:row>
      <xdr:rowOff>120118</xdr:rowOff>
    </xdr:to>
    <xdr:sp macro="" textlink="">
      <xdr:nvSpPr>
        <xdr:cNvPr id="26" name="TekstSylinder 25">
          <a:extLst>
            <a:ext uri="{FF2B5EF4-FFF2-40B4-BE49-F238E27FC236}">
              <a16:creationId xmlns:a16="http://schemas.microsoft.com/office/drawing/2014/main" id="{4BF77780-64A6-4799-A87E-E5E83F6740ED}"/>
            </a:ext>
          </a:extLst>
        </xdr:cNvPr>
        <xdr:cNvSpPr txBox="1"/>
      </xdr:nvSpPr>
      <xdr:spPr>
        <a:xfrm>
          <a:off x="87265" y="943655"/>
          <a:ext cx="1646113" cy="15041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nb-NO" sz="900"/>
            <a:t> Where</a:t>
          </a:r>
          <a:r>
            <a:rPr lang="nb-NO" sz="900" baseline="0"/>
            <a:t> the observations are made</a:t>
          </a:r>
          <a:endParaRPr lang="nb-NO" sz="900"/>
        </a:p>
      </xdr:txBody>
    </xdr:sp>
    <xdr:clientData/>
  </xdr:twoCellAnchor>
  <xdr:twoCellAnchor>
    <xdr:from>
      <xdr:col>1</xdr:col>
      <xdr:colOff>24457</xdr:colOff>
      <xdr:row>5</xdr:row>
      <xdr:rowOff>118885</xdr:rowOff>
    </xdr:from>
    <xdr:to>
      <xdr:col>1</xdr:col>
      <xdr:colOff>343244</xdr:colOff>
      <xdr:row>11</xdr:row>
      <xdr:rowOff>21452</xdr:rowOff>
    </xdr:to>
    <xdr:cxnSp macro="">
      <xdr:nvCxnSpPr>
        <xdr:cNvPr id="27" name="Rett pilkobling 26">
          <a:extLst>
            <a:ext uri="{FF2B5EF4-FFF2-40B4-BE49-F238E27FC236}">
              <a16:creationId xmlns:a16="http://schemas.microsoft.com/office/drawing/2014/main" id="{08770FCA-FA4D-44D8-8239-DFDF5923D09D}"/>
            </a:ext>
          </a:extLst>
        </xdr:cNvPr>
        <xdr:cNvCxnSpPr>
          <a:endCxn id="17" idx="0"/>
        </xdr:cNvCxnSpPr>
      </xdr:nvCxnSpPr>
      <xdr:spPr bwMode="auto">
        <a:xfrm>
          <a:off x="788173" y="1092838"/>
          <a:ext cx="318787" cy="1069594"/>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twoCellAnchor>
    <xdr:from>
      <xdr:col>11</xdr:col>
      <xdr:colOff>389772</xdr:colOff>
      <xdr:row>1</xdr:row>
      <xdr:rowOff>174596</xdr:rowOff>
    </xdr:from>
    <xdr:to>
      <xdr:col>12</xdr:col>
      <xdr:colOff>340746</xdr:colOff>
      <xdr:row>3</xdr:row>
      <xdr:rowOff>20515</xdr:rowOff>
    </xdr:to>
    <xdr:sp macro="" textlink="">
      <xdr:nvSpPr>
        <xdr:cNvPr id="39" name="Rektangel 38">
          <a:extLst>
            <a:ext uri="{FF2B5EF4-FFF2-40B4-BE49-F238E27FC236}">
              <a16:creationId xmlns:a16="http://schemas.microsoft.com/office/drawing/2014/main" id="{39518F93-7DC2-0CD0-2F2B-84C7A8F352A4}"/>
            </a:ext>
          </a:extLst>
        </xdr:cNvPr>
        <xdr:cNvSpPr/>
      </xdr:nvSpPr>
      <xdr:spPr bwMode="auto">
        <a:xfrm>
          <a:off x="8786634" y="471830"/>
          <a:ext cx="714325" cy="197196"/>
        </a:xfrm>
        <a:prstGeom prst="rect">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9</xdr:col>
      <xdr:colOff>497261</xdr:colOff>
      <xdr:row>21</xdr:row>
      <xdr:rowOff>175092</xdr:rowOff>
    </xdr:from>
    <xdr:to>
      <xdr:col>12</xdr:col>
      <xdr:colOff>154081</xdr:colOff>
      <xdr:row>29</xdr:row>
      <xdr:rowOff>84045</xdr:rowOff>
    </xdr:to>
    <xdr:cxnSp macro="">
      <xdr:nvCxnSpPr>
        <xdr:cNvPr id="2" name="Rett pilkobling 1">
          <a:extLst>
            <a:ext uri="{FF2B5EF4-FFF2-40B4-BE49-F238E27FC236}">
              <a16:creationId xmlns:a16="http://schemas.microsoft.com/office/drawing/2014/main" id="{F61348DA-3854-4F78-9789-69F9B784B3F2}"/>
            </a:ext>
          </a:extLst>
        </xdr:cNvPr>
        <xdr:cNvCxnSpPr/>
      </xdr:nvCxnSpPr>
      <xdr:spPr bwMode="auto">
        <a:xfrm>
          <a:off x="7367868" y="4195202"/>
          <a:ext cx="1947022" cy="1421747"/>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twoCellAnchor>
    <xdr:from>
      <xdr:col>9</xdr:col>
      <xdr:colOff>483254</xdr:colOff>
      <xdr:row>18</xdr:row>
      <xdr:rowOff>42022</xdr:rowOff>
    </xdr:from>
    <xdr:to>
      <xdr:col>11</xdr:col>
      <xdr:colOff>735386</xdr:colOff>
      <xdr:row>19</xdr:row>
      <xdr:rowOff>105055</xdr:rowOff>
    </xdr:to>
    <xdr:cxnSp macro="">
      <xdr:nvCxnSpPr>
        <xdr:cNvPr id="8" name="Rett pilkobling 7">
          <a:extLst>
            <a:ext uri="{FF2B5EF4-FFF2-40B4-BE49-F238E27FC236}">
              <a16:creationId xmlns:a16="http://schemas.microsoft.com/office/drawing/2014/main" id="{EC912806-0B4C-4A2B-97D6-0B6656AAA53A}"/>
            </a:ext>
          </a:extLst>
        </xdr:cNvPr>
        <xdr:cNvCxnSpPr/>
      </xdr:nvCxnSpPr>
      <xdr:spPr bwMode="auto">
        <a:xfrm>
          <a:off x="7353861" y="3494835"/>
          <a:ext cx="1778933" cy="252132"/>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twoCellAnchor>
    <xdr:from>
      <xdr:col>8</xdr:col>
      <xdr:colOff>735385</xdr:colOff>
      <xdr:row>20</xdr:row>
      <xdr:rowOff>168087</xdr:rowOff>
    </xdr:from>
    <xdr:to>
      <xdr:col>9</xdr:col>
      <xdr:colOff>504263</xdr:colOff>
      <xdr:row>22</xdr:row>
      <xdr:rowOff>7003</xdr:rowOff>
    </xdr:to>
    <xdr:sp macro="" textlink="">
      <xdr:nvSpPr>
        <xdr:cNvPr id="11" name="Ellipse 10">
          <a:extLst>
            <a:ext uri="{FF2B5EF4-FFF2-40B4-BE49-F238E27FC236}">
              <a16:creationId xmlns:a16="http://schemas.microsoft.com/office/drawing/2014/main" id="{CDC4CC34-F506-4691-9B29-6AD65144AE45}"/>
            </a:ext>
          </a:extLst>
        </xdr:cNvPr>
        <xdr:cNvSpPr/>
      </xdr:nvSpPr>
      <xdr:spPr bwMode="auto">
        <a:xfrm>
          <a:off x="6842591" y="3999098"/>
          <a:ext cx="532279" cy="217115"/>
        </a:xfrm>
        <a:prstGeom prst="ellipse">
          <a:avLst/>
        </a:prstGeom>
        <a:noFill/>
        <a:ln w="12700">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lang="nb-NO" sz="1100"/>
        </a:p>
      </xdr:txBody>
    </xdr:sp>
    <xdr:clientData/>
  </xdr:twoCellAnchor>
  <xdr:twoCellAnchor>
    <xdr:from>
      <xdr:col>6</xdr:col>
      <xdr:colOff>231121</xdr:colOff>
      <xdr:row>20</xdr:row>
      <xdr:rowOff>91049</xdr:rowOff>
    </xdr:from>
    <xdr:to>
      <xdr:col>9</xdr:col>
      <xdr:colOff>210109</xdr:colOff>
      <xdr:row>20</xdr:row>
      <xdr:rowOff>140074</xdr:rowOff>
    </xdr:to>
    <xdr:cxnSp macro="">
      <xdr:nvCxnSpPr>
        <xdr:cNvPr id="13" name="Rett pilkobling 12">
          <a:extLst>
            <a:ext uri="{FF2B5EF4-FFF2-40B4-BE49-F238E27FC236}">
              <a16:creationId xmlns:a16="http://schemas.microsoft.com/office/drawing/2014/main" id="{F1B0EF4C-7551-4BF0-9697-CED15E1937DA}"/>
            </a:ext>
          </a:extLst>
        </xdr:cNvPr>
        <xdr:cNvCxnSpPr/>
      </xdr:nvCxnSpPr>
      <xdr:spPr bwMode="auto">
        <a:xfrm flipV="1">
          <a:off x="4811525" y="3922060"/>
          <a:ext cx="2269191" cy="49025"/>
        </a:xfrm>
        <a:prstGeom prst="straightConnector1">
          <a:avLst/>
        </a:prstGeom>
        <a:solidFill>
          <a:srgbClr val="FFFFFF"/>
        </a:solidFill>
        <a:ln w="28575" cap="flat" cmpd="sng" algn="ctr">
          <a:solidFill>
            <a:srgbClr val="FF0000"/>
          </a:solidFill>
          <a:prstDash val="solid"/>
          <a:round/>
          <a:headEnd type="none" w="med" len="med"/>
          <a:tailEnd type="triangle"/>
        </a:ln>
        <a:effectLst/>
      </xdr:spPr>
    </xdr:cxnSp>
    <xdr:clientData/>
  </xdr:twoCellAnchor>
  <xdr:twoCellAnchor>
    <xdr:from>
      <xdr:col>6</xdr:col>
      <xdr:colOff>16586</xdr:colOff>
      <xdr:row>20</xdr:row>
      <xdr:rowOff>133070</xdr:rowOff>
    </xdr:from>
    <xdr:to>
      <xdr:col>7</xdr:col>
      <xdr:colOff>189099</xdr:colOff>
      <xdr:row>30</xdr:row>
      <xdr:rowOff>87334</xdr:rowOff>
    </xdr:to>
    <xdr:cxnSp macro="">
      <xdr:nvCxnSpPr>
        <xdr:cNvPr id="28" name="Rett pilkobling 27">
          <a:extLst>
            <a:ext uri="{FF2B5EF4-FFF2-40B4-BE49-F238E27FC236}">
              <a16:creationId xmlns:a16="http://schemas.microsoft.com/office/drawing/2014/main" id="{3B454FB5-F21A-4720-A758-6F02C040D2DC}"/>
            </a:ext>
          </a:extLst>
        </xdr:cNvPr>
        <xdr:cNvCxnSpPr>
          <a:stCxn id="54" idx="0"/>
        </xdr:cNvCxnSpPr>
      </xdr:nvCxnSpPr>
      <xdr:spPr bwMode="auto">
        <a:xfrm flipV="1">
          <a:off x="4596990" y="3964081"/>
          <a:ext cx="935914" cy="1845257"/>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twoCellAnchor>
    <xdr:from>
      <xdr:col>4</xdr:col>
      <xdr:colOff>644338</xdr:colOff>
      <xdr:row>30</xdr:row>
      <xdr:rowOff>87334</xdr:rowOff>
    </xdr:from>
    <xdr:to>
      <xdr:col>7</xdr:col>
      <xdr:colOff>152233</xdr:colOff>
      <xdr:row>31</xdr:row>
      <xdr:rowOff>143076</xdr:rowOff>
    </xdr:to>
    <xdr:sp macro="" textlink="">
      <xdr:nvSpPr>
        <xdr:cNvPr id="54" name="TekstSylinder 53">
          <a:extLst>
            <a:ext uri="{FF2B5EF4-FFF2-40B4-BE49-F238E27FC236}">
              <a16:creationId xmlns:a16="http://schemas.microsoft.com/office/drawing/2014/main" id="{1C59F0B2-7B28-40FA-8AB8-F7CE32AB64E6}"/>
            </a:ext>
          </a:extLst>
        </xdr:cNvPr>
        <xdr:cNvSpPr txBox="1"/>
      </xdr:nvSpPr>
      <xdr:spPr>
        <a:xfrm>
          <a:off x="3697941" y="5809338"/>
          <a:ext cx="1798097" cy="244841"/>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nb-NO" sz="700"/>
            <a:t>Observations of 3 joint sets at the surface are interpolated to occur as 2 sets in the tunnel </a:t>
          </a:r>
        </a:p>
      </xdr:txBody>
    </xdr:sp>
    <xdr:clientData/>
  </xdr:twoCellAnchor>
  <xdr:twoCellAnchor>
    <xdr:from>
      <xdr:col>2</xdr:col>
      <xdr:colOff>504265</xdr:colOff>
      <xdr:row>22</xdr:row>
      <xdr:rowOff>152399</xdr:rowOff>
    </xdr:from>
    <xdr:to>
      <xdr:col>3</xdr:col>
      <xdr:colOff>544606</xdr:colOff>
      <xdr:row>30</xdr:row>
      <xdr:rowOff>70036</xdr:rowOff>
    </xdr:to>
    <xdr:cxnSp macro="">
      <xdr:nvCxnSpPr>
        <xdr:cNvPr id="58" name="Rett pilkobling 57">
          <a:extLst>
            <a:ext uri="{FF2B5EF4-FFF2-40B4-BE49-F238E27FC236}">
              <a16:creationId xmlns:a16="http://schemas.microsoft.com/office/drawing/2014/main" id="{B6A646C1-ED09-4E56-BBEA-E4007CE76642}"/>
            </a:ext>
          </a:extLst>
        </xdr:cNvPr>
        <xdr:cNvCxnSpPr/>
      </xdr:nvCxnSpPr>
      <xdr:spPr bwMode="auto">
        <a:xfrm flipV="1">
          <a:off x="2031066" y="4361609"/>
          <a:ext cx="803742" cy="1430431"/>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twoCellAnchor>
    <xdr:from>
      <xdr:col>0</xdr:col>
      <xdr:colOff>56030</xdr:colOff>
      <xdr:row>30</xdr:row>
      <xdr:rowOff>85653</xdr:rowOff>
    </xdr:from>
    <xdr:to>
      <xdr:col>2</xdr:col>
      <xdr:colOff>549763</xdr:colOff>
      <xdr:row>31</xdr:row>
      <xdr:rowOff>141395</xdr:rowOff>
    </xdr:to>
    <xdr:sp macro="" textlink="">
      <xdr:nvSpPr>
        <xdr:cNvPr id="60" name="TekstSylinder 59">
          <a:extLst>
            <a:ext uri="{FF2B5EF4-FFF2-40B4-BE49-F238E27FC236}">
              <a16:creationId xmlns:a16="http://schemas.microsoft.com/office/drawing/2014/main" id="{4BCBE19F-77D7-4B82-B005-1ACF5633F763}"/>
            </a:ext>
          </a:extLst>
        </xdr:cNvPr>
        <xdr:cNvSpPr txBox="1"/>
      </xdr:nvSpPr>
      <xdr:spPr>
        <a:xfrm>
          <a:off x="56030" y="5807657"/>
          <a:ext cx="2020534" cy="244841"/>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nb-NO" sz="700"/>
            <a:t>Joint smoothness is</a:t>
          </a:r>
          <a:r>
            <a:rPr lang="nb-NO" sz="700" baseline="0"/>
            <a:t> observed as 'rough' at the surface, but assumed as 'slightly rough' </a:t>
          </a:r>
          <a:r>
            <a:rPr lang="nb-NO" sz="700"/>
            <a:t>in the tunnel </a:t>
          </a:r>
        </a:p>
      </xdr:txBody>
    </xdr:sp>
    <xdr:clientData/>
  </xdr:twoCellAnchor>
  <xdr:twoCellAnchor>
    <xdr:from>
      <xdr:col>9</xdr:col>
      <xdr:colOff>222437</xdr:colOff>
      <xdr:row>19</xdr:row>
      <xdr:rowOff>96371</xdr:rowOff>
    </xdr:from>
    <xdr:to>
      <xdr:col>12</xdr:col>
      <xdr:colOff>63033</xdr:colOff>
      <xdr:row>25</xdr:row>
      <xdr:rowOff>70037</xdr:rowOff>
    </xdr:to>
    <xdr:cxnSp macro="">
      <xdr:nvCxnSpPr>
        <xdr:cNvPr id="61" name="Rett pilkobling 60">
          <a:extLst>
            <a:ext uri="{FF2B5EF4-FFF2-40B4-BE49-F238E27FC236}">
              <a16:creationId xmlns:a16="http://schemas.microsoft.com/office/drawing/2014/main" id="{058A3279-60B9-4E42-9ABC-F65FA16B1526}"/>
            </a:ext>
          </a:extLst>
        </xdr:cNvPr>
        <xdr:cNvCxnSpPr/>
      </xdr:nvCxnSpPr>
      <xdr:spPr bwMode="auto">
        <a:xfrm>
          <a:off x="7093044" y="3738283"/>
          <a:ext cx="2130798" cy="1108261"/>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twoCellAnchor>
    <xdr:from>
      <xdr:col>3</xdr:col>
      <xdr:colOff>238125</xdr:colOff>
      <xdr:row>30</xdr:row>
      <xdr:rowOff>92657</xdr:rowOff>
    </xdr:from>
    <xdr:to>
      <xdr:col>4</xdr:col>
      <xdr:colOff>490258</xdr:colOff>
      <xdr:row>31</xdr:row>
      <xdr:rowOff>148399</xdr:rowOff>
    </xdr:to>
    <xdr:sp macro="" textlink="">
      <xdr:nvSpPr>
        <xdr:cNvPr id="66" name="TekstSylinder 65">
          <a:extLst>
            <a:ext uri="{FF2B5EF4-FFF2-40B4-BE49-F238E27FC236}">
              <a16:creationId xmlns:a16="http://schemas.microsoft.com/office/drawing/2014/main" id="{11635A39-EB84-4C8E-9BE9-2198E9A463C9}"/>
            </a:ext>
          </a:extLst>
        </xdr:cNvPr>
        <xdr:cNvSpPr txBox="1"/>
      </xdr:nvSpPr>
      <xdr:spPr>
        <a:xfrm>
          <a:off x="2528327" y="5814661"/>
          <a:ext cx="1015534" cy="244841"/>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nb-NO" sz="700"/>
            <a:t>Observation can be marked with a grey cell filling </a:t>
          </a:r>
        </a:p>
      </xdr:txBody>
    </xdr:sp>
    <xdr:clientData/>
  </xdr:twoCellAnchor>
  <xdr:twoCellAnchor editAs="oneCell">
    <xdr:from>
      <xdr:col>0</xdr:col>
      <xdr:colOff>21011</xdr:colOff>
      <xdr:row>42</xdr:row>
      <xdr:rowOff>18839</xdr:rowOff>
    </xdr:from>
    <xdr:to>
      <xdr:col>12</xdr:col>
      <xdr:colOff>28014</xdr:colOff>
      <xdr:row>76</xdr:row>
      <xdr:rowOff>10272</xdr:rowOff>
    </xdr:to>
    <xdr:pic>
      <xdr:nvPicPr>
        <xdr:cNvPr id="4" name="Bilde 3">
          <a:extLst>
            <a:ext uri="{FF2B5EF4-FFF2-40B4-BE49-F238E27FC236}">
              <a16:creationId xmlns:a16="http://schemas.microsoft.com/office/drawing/2014/main" id="{A9C24EE3-F281-F75B-B022-5D62EBE838A0}"/>
            </a:ext>
          </a:extLst>
        </xdr:cNvPr>
        <xdr:cNvPicPr>
          <a:picLocks noChangeAspect="1"/>
        </xdr:cNvPicPr>
      </xdr:nvPicPr>
      <xdr:blipFill>
        <a:blip xmlns:r="http://schemas.openxmlformats.org/officeDocument/2006/relationships" r:embed="rId4"/>
        <a:stretch>
          <a:fillRect/>
        </a:stretch>
      </xdr:blipFill>
      <xdr:spPr>
        <a:xfrm>
          <a:off x="21011" y="8010382"/>
          <a:ext cx="9167216" cy="5760475"/>
        </a:xfrm>
        <a:prstGeom prst="rect">
          <a:avLst/>
        </a:prstGeom>
      </xdr:spPr>
    </xdr:pic>
    <xdr:clientData/>
  </xdr:twoCellAnchor>
  <xdr:twoCellAnchor>
    <xdr:from>
      <xdr:col>3</xdr:col>
      <xdr:colOff>745892</xdr:colOff>
      <xdr:row>23</xdr:row>
      <xdr:rowOff>150719</xdr:rowOff>
    </xdr:from>
    <xdr:to>
      <xdr:col>4</xdr:col>
      <xdr:colOff>711014</xdr:colOff>
      <xdr:row>30</xdr:row>
      <xdr:rowOff>92657</xdr:rowOff>
    </xdr:to>
    <xdr:cxnSp macro="">
      <xdr:nvCxnSpPr>
        <xdr:cNvPr id="67" name="Rett pilkobling 66">
          <a:extLst>
            <a:ext uri="{FF2B5EF4-FFF2-40B4-BE49-F238E27FC236}">
              <a16:creationId xmlns:a16="http://schemas.microsoft.com/office/drawing/2014/main" id="{FCE973E6-C6FE-4DF5-9D3B-2B0E04B8ECAC}"/>
            </a:ext>
          </a:extLst>
        </xdr:cNvPr>
        <xdr:cNvCxnSpPr>
          <a:stCxn id="66" idx="0"/>
        </xdr:cNvCxnSpPr>
      </xdr:nvCxnSpPr>
      <xdr:spPr bwMode="auto">
        <a:xfrm flipV="1">
          <a:off x="3036094" y="4549028"/>
          <a:ext cx="728523" cy="1265633"/>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twoCellAnchor>
    <xdr:from>
      <xdr:col>7</xdr:col>
      <xdr:colOff>0</xdr:colOff>
      <xdr:row>54</xdr:row>
      <xdr:rowOff>140074</xdr:rowOff>
    </xdr:from>
    <xdr:to>
      <xdr:col>9</xdr:col>
      <xdr:colOff>49025</xdr:colOff>
      <xdr:row>63</xdr:row>
      <xdr:rowOff>147077</xdr:rowOff>
    </xdr:to>
    <xdr:cxnSp macro="">
      <xdr:nvCxnSpPr>
        <xdr:cNvPr id="9" name="Rett pilkobling 8">
          <a:extLst>
            <a:ext uri="{FF2B5EF4-FFF2-40B4-BE49-F238E27FC236}">
              <a16:creationId xmlns:a16="http://schemas.microsoft.com/office/drawing/2014/main" id="{FF7A1DA0-33C9-A5E9-5D4C-98D94D0A222B}"/>
            </a:ext>
          </a:extLst>
        </xdr:cNvPr>
        <xdr:cNvCxnSpPr/>
      </xdr:nvCxnSpPr>
      <xdr:spPr bwMode="auto">
        <a:xfrm>
          <a:off x="5343805" y="10435478"/>
          <a:ext cx="1575827" cy="1498787"/>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twoCellAnchor>
    <xdr:from>
      <xdr:col>6</xdr:col>
      <xdr:colOff>749394</xdr:colOff>
      <xdr:row>54</xdr:row>
      <xdr:rowOff>49026</xdr:rowOff>
    </xdr:from>
    <xdr:to>
      <xdr:col>9</xdr:col>
      <xdr:colOff>28014</xdr:colOff>
      <xdr:row>55</xdr:row>
      <xdr:rowOff>119062</xdr:rowOff>
    </xdr:to>
    <xdr:cxnSp macro="">
      <xdr:nvCxnSpPr>
        <xdr:cNvPr id="18" name="Rett pilkobling 17">
          <a:extLst>
            <a:ext uri="{FF2B5EF4-FFF2-40B4-BE49-F238E27FC236}">
              <a16:creationId xmlns:a16="http://schemas.microsoft.com/office/drawing/2014/main" id="{7949BE5B-A0B9-B36C-1254-6D1145738256}"/>
            </a:ext>
          </a:extLst>
        </xdr:cNvPr>
        <xdr:cNvCxnSpPr/>
      </xdr:nvCxnSpPr>
      <xdr:spPr bwMode="auto">
        <a:xfrm>
          <a:off x="5329798" y="10344430"/>
          <a:ext cx="1568823" cy="231121"/>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twoCellAnchor>
    <xdr:from>
      <xdr:col>5</xdr:col>
      <xdr:colOff>273143</xdr:colOff>
      <xdr:row>54</xdr:row>
      <xdr:rowOff>49026</xdr:rowOff>
    </xdr:from>
    <xdr:to>
      <xdr:col>6</xdr:col>
      <xdr:colOff>756397</xdr:colOff>
      <xdr:row>54</xdr:row>
      <xdr:rowOff>63034</xdr:rowOff>
    </xdr:to>
    <xdr:cxnSp macro="">
      <xdr:nvCxnSpPr>
        <xdr:cNvPr id="20" name="Rett linje 19">
          <a:extLst>
            <a:ext uri="{FF2B5EF4-FFF2-40B4-BE49-F238E27FC236}">
              <a16:creationId xmlns:a16="http://schemas.microsoft.com/office/drawing/2014/main" id="{71527D47-1658-A91D-DC2E-4440585269C2}"/>
            </a:ext>
          </a:extLst>
        </xdr:cNvPr>
        <xdr:cNvCxnSpPr/>
      </xdr:nvCxnSpPr>
      <xdr:spPr bwMode="auto">
        <a:xfrm flipH="1">
          <a:off x="4090147" y="10344430"/>
          <a:ext cx="1246654" cy="14008"/>
        </a:xfrm>
        <a:prstGeom prst="line">
          <a:avLst/>
        </a:prstGeom>
        <a:solidFill>
          <a:srgbClr val="FFFFFF"/>
        </a:solidFill>
        <a:ln w="9525" cap="flat" cmpd="sng" algn="ctr">
          <a:solidFill>
            <a:srgbClr val="FF0000"/>
          </a:solidFill>
          <a:prstDash val="solid"/>
          <a:round/>
          <a:headEnd type="none" w="med" len="med"/>
          <a:tailEnd type="none" w="med" len="med"/>
        </a:ln>
        <a:effectLst/>
      </xdr:spPr>
    </xdr:cxnSp>
    <xdr:clientData/>
  </xdr:twoCellAnchor>
  <xdr:twoCellAnchor>
    <xdr:from>
      <xdr:col>5</xdr:col>
      <xdr:colOff>14007</xdr:colOff>
      <xdr:row>54</xdr:row>
      <xdr:rowOff>56030</xdr:rowOff>
    </xdr:from>
    <xdr:to>
      <xdr:col>5</xdr:col>
      <xdr:colOff>280147</xdr:colOff>
      <xdr:row>54</xdr:row>
      <xdr:rowOff>133070</xdr:rowOff>
    </xdr:to>
    <xdr:cxnSp macro="">
      <xdr:nvCxnSpPr>
        <xdr:cNvPr id="37" name="Rett linje 36">
          <a:extLst>
            <a:ext uri="{FF2B5EF4-FFF2-40B4-BE49-F238E27FC236}">
              <a16:creationId xmlns:a16="http://schemas.microsoft.com/office/drawing/2014/main" id="{CDC41FC6-EA9B-0279-D4E7-B025AAAED8A6}"/>
            </a:ext>
          </a:extLst>
        </xdr:cNvPr>
        <xdr:cNvCxnSpPr/>
      </xdr:nvCxnSpPr>
      <xdr:spPr bwMode="auto">
        <a:xfrm flipV="1">
          <a:off x="3831011" y="10351434"/>
          <a:ext cx="266140" cy="77040"/>
        </a:xfrm>
        <a:prstGeom prst="line">
          <a:avLst/>
        </a:prstGeom>
        <a:solidFill>
          <a:srgbClr val="FFFFFF"/>
        </a:solidFill>
        <a:ln w="9525" cap="flat" cmpd="sng" algn="ctr">
          <a:solidFill>
            <a:srgbClr val="FF0000"/>
          </a:solidFill>
          <a:prstDash val="solid"/>
          <a:round/>
          <a:headEnd type="none" w="med" len="med"/>
          <a:tailEnd type="none" w="med" len="med"/>
        </a:ln>
        <a:effectLst/>
      </xdr:spPr>
    </xdr:cxnSp>
    <xdr:clientData/>
  </xdr:twoCellAnchor>
  <xdr:twoCellAnchor>
    <xdr:from>
      <xdr:col>7</xdr:col>
      <xdr:colOff>448235</xdr:colOff>
      <xdr:row>53</xdr:row>
      <xdr:rowOff>91048</xdr:rowOff>
    </xdr:from>
    <xdr:to>
      <xdr:col>12</xdr:col>
      <xdr:colOff>175092</xdr:colOff>
      <xdr:row>54</xdr:row>
      <xdr:rowOff>63221</xdr:rowOff>
    </xdr:to>
    <xdr:cxnSp macro="">
      <xdr:nvCxnSpPr>
        <xdr:cNvPr id="41" name="Rett pilkobling 40">
          <a:extLst>
            <a:ext uri="{FF2B5EF4-FFF2-40B4-BE49-F238E27FC236}">
              <a16:creationId xmlns:a16="http://schemas.microsoft.com/office/drawing/2014/main" id="{96D50ADF-C613-37B2-12B7-29681BC21B2E}"/>
            </a:ext>
          </a:extLst>
        </xdr:cNvPr>
        <xdr:cNvCxnSpPr>
          <a:endCxn id="42" idx="1"/>
        </xdr:cNvCxnSpPr>
      </xdr:nvCxnSpPr>
      <xdr:spPr bwMode="auto">
        <a:xfrm>
          <a:off x="5771260" y="10180492"/>
          <a:ext cx="3529017" cy="132883"/>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twoCellAnchor>
    <xdr:from>
      <xdr:col>12</xdr:col>
      <xdr:colOff>175092</xdr:colOff>
      <xdr:row>53</xdr:row>
      <xdr:rowOff>154081</xdr:rowOff>
    </xdr:from>
    <xdr:to>
      <xdr:col>13</xdr:col>
      <xdr:colOff>623241</xdr:colOff>
      <xdr:row>54</xdr:row>
      <xdr:rowOff>133070</xdr:rowOff>
    </xdr:to>
    <xdr:sp macro="" textlink="">
      <xdr:nvSpPr>
        <xdr:cNvPr id="42" name="TekstSylinder 41">
          <a:extLst>
            <a:ext uri="{FF2B5EF4-FFF2-40B4-BE49-F238E27FC236}">
              <a16:creationId xmlns:a16="http://schemas.microsoft.com/office/drawing/2014/main" id="{C485E794-8492-A8A3-7EBB-54A96DFFF1BC}"/>
            </a:ext>
          </a:extLst>
        </xdr:cNvPr>
        <xdr:cNvSpPr txBox="1"/>
      </xdr:nvSpPr>
      <xdr:spPr>
        <a:xfrm>
          <a:off x="9300277" y="10243525"/>
          <a:ext cx="1208581" cy="13969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nb-NO" sz="800">
              <a:solidFill>
                <a:srgbClr val="FF0000"/>
              </a:solidFill>
            </a:rPr>
            <a:t>See sheet 'Support capacity'</a:t>
          </a:r>
        </a:p>
      </xdr:txBody>
    </xdr:sp>
    <xdr:clientData/>
  </xdr:twoCellAnchor>
  <xdr:twoCellAnchor editAs="oneCell">
    <xdr:from>
      <xdr:col>14</xdr:col>
      <xdr:colOff>42023</xdr:colOff>
      <xdr:row>42</xdr:row>
      <xdr:rowOff>44337</xdr:rowOff>
    </xdr:from>
    <xdr:to>
      <xdr:col>23</xdr:col>
      <xdr:colOff>48094</xdr:colOff>
      <xdr:row>67</xdr:row>
      <xdr:rowOff>59298</xdr:rowOff>
    </xdr:to>
    <xdr:pic>
      <xdr:nvPicPr>
        <xdr:cNvPr id="45" name="Bilde 44">
          <a:extLst>
            <a:ext uri="{FF2B5EF4-FFF2-40B4-BE49-F238E27FC236}">
              <a16:creationId xmlns:a16="http://schemas.microsoft.com/office/drawing/2014/main" id="{8E8750E0-9E0F-CB88-CCB5-C43358DFAB9B}"/>
            </a:ext>
          </a:extLst>
        </xdr:cNvPr>
        <xdr:cNvPicPr>
          <a:picLocks noChangeAspect="1"/>
        </xdr:cNvPicPr>
      </xdr:nvPicPr>
      <xdr:blipFill>
        <a:blip xmlns:r="http://schemas.openxmlformats.org/officeDocument/2006/relationships" r:embed="rId5"/>
        <a:stretch>
          <a:fillRect/>
        </a:stretch>
      </xdr:blipFill>
      <xdr:spPr>
        <a:xfrm>
          <a:off x="10729633" y="8182609"/>
          <a:ext cx="6876678" cy="4308214"/>
        </a:xfrm>
        <a:prstGeom prst="rect">
          <a:avLst/>
        </a:prstGeom>
      </xdr:spPr>
    </xdr:pic>
    <xdr:clientData/>
  </xdr:twoCellAnchor>
  <xdr:twoCellAnchor>
    <xdr:from>
      <xdr:col>9</xdr:col>
      <xdr:colOff>6755</xdr:colOff>
      <xdr:row>41</xdr:row>
      <xdr:rowOff>94074</xdr:rowOff>
    </xdr:from>
    <xdr:to>
      <xdr:col>14</xdr:col>
      <xdr:colOff>39198</xdr:colOff>
      <xdr:row>41</xdr:row>
      <xdr:rowOff>108085</xdr:rowOff>
    </xdr:to>
    <xdr:cxnSp macro="">
      <xdr:nvCxnSpPr>
        <xdr:cNvPr id="52" name="Rett pilkobling 51">
          <a:extLst>
            <a:ext uri="{FF2B5EF4-FFF2-40B4-BE49-F238E27FC236}">
              <a16:creationId xmlns:a16="http://schemas.microsoft.com/office/drawing/2014/main" id="{73B339CE-59C5-6A96-A732-E2138E5134F2}"/>
            </a:ext>
          </a:extLst>
        </xdr:cNvPr>
        <xdr:cNvCxnSpPr/>
      </xdr:nvCxnSpPr>
      <xdr:spPr bwMode="auto">
        <a:xfrm flipV="1">
          <a:off x="6876915" y="7903223"/>
          <a:ext cx="3849198" cy="14011"/>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twoCellAnchor>
    <xdr:from>
      <xdr:col>12</xdr:col>
      <xdr:colOff>60799</xdr:colOff>
      <xdr:row>40</xdr:row>
      <xdr:rowOff>141863</xdr:rowOff>
    </xdr:from>
    <xdr:to>
      <xdr:col>13</xdr:col>
      <xdr:colOff>526916</xdr:colOff>
      <xdr:row>42</xdr:row>
      <xdr:rowOff>42903</xdr:rowOff>
    </xdr:to>
    <xdr:sp macro="" textlink="">
      <xdr:nvSpPr>
        <xdr:cNvPr id="53" name="TekstSylinder 52">
          <a:extLst>
            <a:ext uri="{FF2B5EF4-FFF2-40B4-BE49-F238E27FC236}">
              <a16:creationId xmlns:a16="http://schemas.microsoft.com/office/drawing/2014/main" id="{EF217296-F7BC-43AC-86DC-CFFA552702E9}"/>
            </a:ext>
          </a:extLst>
        </xdr:cNvPr>
        <xdr:cNvSpPr txBox="1"/>
      </xdr:nvSpPr>
      <xdr:spPr>
        <a:xfrm>
          <a:off x="9221012" y="7761863"/>
          <a:ext cx="1229468" cy="27258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nb-NO" sz="800">
              <a:solidFill>
                <a:srgbClr val="FF0000"/>
              </a:solidFill>
            </a:rPr>
            <a:t>when inputs for </a:t>
          </a:r>
          <a:r>
            <a:rPr lang="nb-NO" sz="800" u="sng">
              <a:solidFill>
                <a:srgbClr val="FF0000"/>
              </a:solidFill>
            </a:rPr>
            <a:t>weakness</a:t>
          </a:r>
          <a:r>
            <a:rPr lang="nb-NO" sz="800">
              <a:solidFill>
                <a:srgbClr val="FF0000"/>
              </a:solidFill>
            </a:rPr>
            <a:t> </a:t>
          </a:r>
          <a:r>
            <a:rPr lang="nb-NO" sz="800" u="sng">
              <a:solidFill>
                <a:srgbClr val="FF0000"/>
              </a:solidFill>
            </a:rPr>
            <a:t>zone</a:t>
          </a:r>
          <a:r>
            <a:rPr lang="nb-NO" sz="800">
              <a:solidFill>
                <a:srgbClr val="FF0000"/>
              </a:solidFill>
            </a:rPr>
            <a:t> have been</a:t>
          </a:r>
          <a:r>
            <a:rPr lang="nb-NO" sz="800" baseline="0">
              <a:solidFill>
                <a:srgbClr val="FF0000"/>
              </a:solidFill>
            </a:rPr>
            <a:t> given</a:t>
          </a:r>
          <a:endParaRPr lang="nb-NO" sz="800">
            <a:solidFill>
              <a:srgbClr val="FF0000"/>
            </a:solidFill>
          </a:endParaRPr>
        </a:p>
      </xdr:txBody>
    </xdr:sp>
    <xdr:clientData/>
  </xdr:twoCellAnchor>
  <xdr:twoCellAnchor editAs="oneCell">
    <xdr:from>
      <xdr:col>20</xdr:col>
      <xdr:colOff>614734</xdr:colOff>
      <xdr:row>49</xdr:row>
      <xdr:rowOff>43496</xdr:rowOff>
    </xdr:from>
    <xdr:to>
      <xdr:col>22</xdr:col>
      <xdr:colOff>648511</xdr:colOff>
      <xdr:row>49</xdr:row>
      <xdr:rowOff>177252</xdr:rowOff>
    </xdr:to>
    <xdr:pic>
      <xdr:nvPicPr>
        <xdr:cNvPr id="55" name="Bilde 54">
          <a:extLst>
            <a:ext uri="{FF2B5EF4-FFF2-40B4-BE49-F238E27FC236}">
              <a16:creationId xmlns:a16="http://schemas.microsoft.com/office/drawing/2014/main" id="{BEC1AA6E-8EB6-4A40-AB96-2947770C0B04}"/>
            </a:ext>
          </a:extLst>
        </xdr:cNvPr>
        <xdr:cNvPicPr>
          <a:picLocks noChangeAspect="1"/>
        </xdr:cNvPicPr>
      </xdr:nvPicPr>
      <xdr:blipFill>
        <a:blip xmlns:r="http://schemas.openxmlformats.org/officeDocument/2006/relationships" r:embed="rId6"/>
        <a:stretch>
          <a:fillRect/>
        </a:stretch>
      </xdr:blipFill>
      <xdr:spPr>
        <a:xfrm>
          <a:off x="15881755" y="9305039"/>
          <a:ext cx="1560479" cy="133756"/>
        </a:xfrm>
        <a:prstGeom prst="rect">
          <a:avLst/>
        </a:prstGeom>
      </xdr:spPr>
    </xdr:pic>
    <xdr:clientData/>
  </xdr:twoCellAnchor>
  <xdr:twoCellAnchor editAs="oneCell">
    <xdr:from>
      <xdr:col>20</xdr:col>
      <xdr:colOff>472610</xdr:colOff>
      <xdr:row>50</xdr:row>
      <xdr:rowOff>101331</xdr:rowOff>
    </xdr:from>
    <xdr:to>
      <xdr:col>20</xdr:col>
      <xdr:colOff>562681</xdr:colOff>
      <xdr:row>53</xdr:row>
      <xdr:rowOff>74309</xdr:rowOff>
    </xdr:to>
    <xdr:pic>
      <xdr:nvPicPr>
        <xdr:cNvPr id="5" name="Bilde 4">
          <a:extLst>
            <a:ext uri="{FF2B5EF4-FFF2-40B4-BE49-F238E27FC236}">
              <a16:creationId xmlns:a16="http://schemas.microsoft.com/office/drawing/2014/main" id="{D9AF539A-D086-94B0-0E71-86C4A342FF37}"/>
            </a:ext>
          </a:extLst>
        </xdr:cNvPr>
        <xdr:cNvPicPr>
          <a:picLocks noChangeAspect="1"/>
        </xdr:cNvPicPr>
      </xdr:nvPicPr>
      <xdr:blipFill>
        <a:blip xmlns:r="http://schemas.openxmlformats.org/officeDocument/2006/relationships" r:embed="rId7"/>
        <a:stretch>
          <a:fillRect/>
        </a:stretch>
      </xdr:blipFill>
      <xdr:spPr>
        <a:xfrm>
          <a:off x="15739631" y="9552022"/>
          <a:ext cx="90071" cy="513404"/>
        </a:xfrm>
        <a:prstGeom prst="rect">
          <a:avLst/>
        </a:prstGeom>
      </xdr:spPr>
    </xdr:pic>
    <xdr:clientData/>
  </xdr:twoCellAnchor>
  <xdr:twoCellAnchor>
    <xdr:from>
      <xdr:col>3</xdr:col>
      <xdr:colOff>249947</xdr:colOff>
      <xdr:row>56</xdr:row>
      <xdr:rowOff>108085</xdr:rowOff>
    </xdr:from>
    <xdr:to>
      <xdr:col>4</xdr:col>
      <xdr:colOff>418830</xdr:colOff>
      <xdr:row>58</xdr:row>
      <xdr:rowOff>0</xdr:rowOff>
    </xdr:to>
    <xdr:sp macro="" textlink="">
      <xdr:nvSpPr>
        <xdr:cNvPr id="10" name="Ellipse 9">
          <a:extLst>
            <a:ext uri="{FF2B5EF4-FFF2-40B4-BE49-F238E27FC236}">
              <a16:creationId xmlns:a16="http://schemas.microsoft.com/office/drawing/2014/main" id="{A9A0665F-D7B9-24F6-9043-F3F9D9B53705}"/>
            </a:ext>
          </a:extLst>
        </xdr:cNvPr>
        <xdr:cNvSpPr/>
      </xdr:nvSpPr>
      <xdr:spPr bwMode="auto">
        <a:xfrm>
          <a:off x="2540000" y="10585585"/>
          <a:ext cx="932234" cy="216170"/>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5</xdr:col>
      <xdr:colOff>436124</xdr:colOff>
      <xdr:row>56</xdr:row>
      <xdr:rowOff>118624</xdr:rowOff>
    </xdr:from>
    <xdr:to>
      <xdr:col>6</xdr:col>
      <xdr:colOff>605007</xdr:colOff>
      <xdr:row>58</xdr:row>
      <xdr:rowOff>10539</xdr:rowOff>
    </xdr:to>
    <xdr:sp macro="" textlink="">
      <xdr:nvSpPr>
        <xdr:cNvPr id="19" name="Ellipse 18">
          <a:extLst>
            <a:ext uri="{FF2B5EF4-FFF2-40B4-BE49-F238E27FC236}">
              <a16:creationId xmlns:a16="http://schemas.microsoft.com/office/drawing/2014/main" id="{C574D61C-7892-42BF-87DF-90A5CB631311}"/>
            </a:ext>
          </a:extLst>
        </xdr:cNvPr>
        <xdr:cNvSpPr/>
      </xdr:nvSpPr>
      <xdr:spPr bwMode="auto">
        <a:xfrm>
          <a:off x="4252879" y="10596124"/>
          <a:ext cx="932234" cy="216170"/>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1</xdr:col>
      <xdr:colOff>453417</xdr:colOff>
      <xdr:row>57</xdr:row>
      <xdr:rowOff>75119</xdr:rowOff>
    </xdr:from>
    <xdr:to>
      <xdr:col>2</xdr:col>
      <xdr:colOff>622300</xdr:colOff>
      <xdr:row>58</xdr:row>
      <xdr:rowOff>129162</xdr:rowOff>
    </xdr:to>
    <xdr:sp macro="" textlink="">
      <xdr:nvSpPr>
        <xdr:cNvPr id="36" name="Ellipse 35">
          <a:extLst>
            <a:ext uri="{FF2B5EF4-FFF2-40B4-BE49-F238E27FC236}">
              <a16:creationId xmlns:a16="http://schemas.microsoft.com/office/drawing/2014/main" id="{68A682DA-7681-48F8-BAB5-8D25A35AC3CC}"/>
            </a:ext>
          </a:extLst>
        </xdr:cNvPr>
        <xdr:cNvSpPr/>
      </xdr:nvSpPr>
      <xdr:spPr bwMode="auto">
        <a:xfrm>
          <a:off x="1216768" y="10714747"/>
          <a:ext cx="932234" cy="216170"/>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16</xdr:col>
      <xdr:colOff>247786</xdr:colOff>
      <xdr:row>53</xdr:row>
      <xdr:rowOff>45126</xdr:rowOff>
    </xdr:from>
    <xdr:to>
      <xdr:col>17</xdr:col>
      <xdr:colOff>416669</xdr:colOff>
      <xdr:row>54</xdr:row>
      <xdr:rowOff>99168</xdr:rowOff>
    </xdr:to>
    <xdr:sp macro="" textlink="">
      <xdr:nvSpPr>
        <xdr:cNvPr id="38" name="Ellipse 37">
          <a:extLst>
            <a:ext uri="{FF2B5EF4-FFF2-40B4-BE49-F238E27FC236}">
              <a16:creationId xmlns:a16="http://schemas.microsoft.com/office/drawing/2014/main" id="{6147C08B-8EA1-48A7-B096-0367F8717A10}"/>
            </a:ext>
          </a:extLst>
        </xdr:cNvPr>
        <xdr:cNvSpPr/>
      </xdr:nvSpPr>
      <xdr:spPr bwMode="auto">
        <a:xfrm>
          <a:off x="12461403" y="10036243"/>
          <a:ext cx="932234" cy="216170"/>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18</xdr:col>
      <xdr:colOff>42155</xdr:colOff>
      <xdr:row>53</xdr:row>
      <xdr:rowOff>55665</xdr:rowOff>
    </xdr:from>
    <xdr:to>
      <xdr:col>19</xdr:col>
      <xdr:colOff>211038</xdr:colOff>
      <xdr:row>54</xdr:row>
      <xdr:rowOff>109707</xdr:rowOff>
    </xdr:to>
    <xdr:sp macro="" textlink="">
      <xdr:nvSpPr>
        <xdr:cNvPr id="43" name="Ellipse 42">
          <a:extLst>
            <a:ext uri="{FF2B5EF4-FFF2-40B4-BE49-F238E27FC236}">
              <a16:creationId xmlns:a16="http://schemas.microsoft.com/office/drawing/2014/main" id="{D7ABAB42-E3F7-436C-8493-761DD3E60B8A}"/>
            </a:ext>
          </a:extLst>
        </xdr:cNvPr>
        <xdr:cNvSpPr/>
      </xdr:nvSpPr>
      <xdr:spPr bwMode="auto">
        <a:xfrm>
          <a:off x="13782474" y="10046782"/>
          <a:ext cx="932234" cy="216170"/>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21</xdr:col>
      <xdr:colOff>655266</xdr:colOff>
      <xdr:row>48</xdr:row>
      <xdr:rowOff>162127</xdr:rowOff>
    </xdr:from>
    <xdr:to>
      <xdr:col>22</xdr:col>
      <xdr:colOff>716064</xdr:colOff>
      <xdr:row>50</xdr:row>
      <xdr:rowOff>18916</xdr:rowOff>
    </xdr:to>
    <xdr:sp macro="" textlink="">
      <xdr:nvSpPr>
        <xdr:cNvPr id="44" name="Ellipse 43">
          <a:extLst>
            <a:ext uri="{FF2B5EF4-FFF2-40B4-BE49-F238E27FC236}">
              <a16:creationId xmlns:a16="http://schemas.microsoft.com/office/drawing/2014/main" id="{D3C30634-11BA-4DB7-944A-73AF128FBD13}"/>
            </a:ext>
          </a:extLst>
        </xdr:cNvPr>
        <xdr:cNvSpPr/>
      </xdr:nvSpPr>
      <xdr:spPr bwMode="auto">
        <a:xfrm>
          <a:off x="16685638" y="9261542"/>
          <a:ext cx="824149" cy="208065"/>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14</xdr:col>
      <xdr:colOff>662021</xdr:colOff>
      <xdr:row>43</xdr:row>
      <xdr:rowOff>141862</xdr:rowOff>
    </xdr:from>
    <xdr:to>
      <xdr:col>15</xdr:col>
      <xdr:colOff>405319</xdr:colOff>
      <xdr:row>44</xdr:row>
      <xdr:rowOff>121596</xdr:rowOff>
    </xdr:to>
    <xdr:sp macro="" textlink="">
      <xdr:nvSpPr>
        <xdr:cNvPr id="47" name="Ellipse 46">
          <a:extLst>
            <a:ext uri="{FF2B5EF4-FFF2-40B4-BE49-F238E27FC236}">
              <a16:creationId xmlns:a16="http://schemas.microsoft.com/office/drawing/2014/main" id="{06A6F1D1-CABD-48D1-FE41-29ACF50CCB10}"/>
            </a:ext>
          </a:extLst>
        </xdr:cNvPr>
        <xdr:cNvSpPr/>
      </xdr:nvSpPr>
      <xdr:spPr bwMode="auto">
        <a:xfrm>
          <a:off x="11348936" y="8322553"/>
          <a:ext cx="506649" cy="141862"/>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14</xdr:col>
      <xdr:colOff>672559</xdr:colOff>
      <xdr:row>45</xdr:row>
      <xdr:rowOff>64580</xdr:rowOff>
    </xdr:from>
    <xdr:to>
      <xdr:col>15</xdr:col>
      <xdr:colOff>415857</xdr:colOff>
      <xdr:row>46</xdr:row>
      <xdr:rowOff>17293</xdr:rowOff>
    </xdr:to>
    <xdr:sp macro="" textlink="">
      <xdr:nvSpPr>
        <xdr:cNvPr id="51" name="Ellipse 50">
          <a:extLst>
            <a:ext uri="{FF2B5EF4-FFF2-40B4-BE49-F238E27FC236}">
              <a16:creationId xmlns:a16="http://schemas.microsoft.com/office/drawing/2014/main" id="{5A010FF3-F258-41A6-87A4-BC2F5A3F9633}"/>
            </a:ext>
          </a:extLst>
        </xdr:cNvPr>
        <xdr:cNvSpPr/>
      </xdr:nvSpPr>
      <xdr:spPr bwMode="auto">
        <a:xfrm>
          <a:off x="11359474" y="8596548"/>
          <a:ext cx="506649" cy="141862"/>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1</xdr:col>
      <xdr:colOff>108085</xdr:colOff>
      <xdr:row>43</xdr:row>
      <xdr:rowOff>101331</xdr:rowOff>
    </xdr:from>
    <xdr:to>
      <xdr:col>1</xdr:col>
      <xdr:colOff>749840</xdr:colOff>
      <xdr:row>44</xdr:row>
      <xdr:rowOff>108085</xdr:rowOff>
    </xdr:to>
    <xdr:sp macro="" textlink="">
      <xdr:nvSpPr>
        <xdr:cNvPr id="56" name="Ellipse 55">
          <a:extLst>
            <a:ext uri="{FF2B5EF4-FFF2-40B4-BE49-F238E27FC236}">
              <a16:creationId xmlns:a16="http://schemas.microsoft.com/office/drawing/2014/main" id="{B6AA0B39-9B10-44E7-8501-D84EF7C53E9B}"/>
            </a:ext>
          </a:extLst>
        </xdr:cNvPr>
        <xdr:cNvSpPr/>
      </xdr:nvSpPr>
      <xdr:spPr bwMode="auto">
        <a:xfrm>
          <a:off x="871436" y="8282022"/>
          <a:ext cx="641755" cy="168882"/>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1</xdr:col>
      <xdr:colOff>101331</xdr:colOff>
      <xdr:row>45</xdr:row>
      <xdr:rowOff>148617</xdr:rowOff>
    </xdr:from>
    <xdr:to>
      <xdr:col>1</xdr:col>
      <xdr:colOff>716067</xdr:colOff>
      <xdr:row>46</xdr:row>
      <xdr:rowOff>101330</xdr:rowOff>
    </xdr:to>
    <xdr:sp macro="" textlink="">
      <xdr:nvSpPr>
        <xdr:cNvPr id="57" name="Ellipse 56">
          <a:extLst>
            <a:ext uri="{FF2B5EF4-FFF2-40B4-BE49-F238E27FC236}">
              <a16:creationId xmlns:a16="http://schemas.microsoft.com/office/drawing/2014/main" id="{43A08623-CD09-4836-B3BB-AAF9B52AD7EA}"/>
            </a:ext>
          </a:extLst>
        </xdr:cNvPr>
        <xdr:cNvSpPr/>
      </xdr:nvSpPr>
      <xdr:spPr bwMode="auto">
        <a:xfrm>
          <a:off x="864682" y="8680585"/>
          <a:ext cx="614736" cy="141862"/>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1</xdr:col>
      <xdr:colOff>101331</xdr:colOff>
      <xdr:row>45</xdr:row>
      <xdr:rowOff>13510</xdr:rowOff>
    </xdr:from>
    <xdr:to>
      <xdr:col>1</xdr:col>
      <xdr:colOff>726605</xdr:colOff>
      <xdr:row>45</xdr:row>
      <xdr:rowOff>148617</xdr:rowOff>
    </xdr:to>
    <xdr:sp macro="" textlink="">
      <xdr:nvSpPr>
        <xdr:cNvPr id="59" name="Ellipse 58">
          <a:extLst>
            <a:ext uri="{FF2B5EF4-FFF2-40B4-BE49-F238E27FC236}">
              <a16:creationId xmlns:a16="http://schemas.microsoft.com/office/drawing/2014/main" id="{6E161D96-608D-4E56-ABC0-F5D37555901F}"/>
            </a:ext>
          </a:extLst>
        </xdr:cNvPr>
        <xdr:cNvSpPr/>
      </xdr:nvSpPr>
      <xdr:spPr bwMode="auto">
        <a:xfrm>
          <a:off x="864682" y="8545478"/>
          <a:ext cx="625274" cy="135107"/>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129908</xdr:colOff>
      <xdr:row>37</xdr:row>
      <xdr:rowOff>4947</xdr:rowOff>
    </xdr:from>
    <xdr:to>
      <xdr:col>1</xdr:col>
      <xdr:colOff>120470</xdr:colOff>
      <xdr:row>46</xdr:row>
      <xdr:rowOff>138545</xdr:rowOff>
    </xdr:to>
    <xdr:sp macro="" textlink="">
      <xdr:nvSpPr>
        <xdr:cNvPr id="10" name="TekstSylinder 9">
          <a:extLst>
            <a:ext uri="{FF2B5EF4-FFF2-40B4-BE49-F238E27FC236}">
              <a16:creationId xmlns:a16="http://schemas.microsoft.com/office/drawing/2014/main" id="{506067B3-EDAE-4BF8-9D9A-B8FFDDAE2C33}"/>
            </a:ext>
          </a:extLst>
        </xdr:cNvPr>
        <xdr:cNvSpPr txBox="1"/>
      </xdr:nvSpPr>
      <xdr:spPr>
        <a:xfrm rot="16200000">
          <a:off x="-426519" y="4965140"/>
          <a:ext cx="1256806" cy="143952"/>
        </a:xfrm>
        <a:prstGeom prst="rect">
          <a:avLst/>
        </a:prstGeom>
        <a:solidFill>
          <a:schemeClr val="accent3">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nb-NO" sz="800" b="1">
              <a:solidFill>
                <a:schemeClr val="bg1"/>
              </a:solidFill>
              <a:latin typeface="Arial" panose="020B0604020202020204" pitchFamily="34" charset="0"/>
              <a:cs typeface="Arial" panose="020B0604020202020204" pitchFamily="34" charset="0"/>
            </a:rPr>
            <a:t>parameters</a:t>
          </a:r>
        </a:p>
      </xdr:txBody>
    </xdr:sp>
    <xdr:clientData/>
  </xdr:twoCellAnchor>
  <xdr:twoCellAnchor>
    <xdr:from>
      <xdr:col>0</xdr:col>
      <xdr:colOff>85095</xdr:colOff>
      <xdr:row>0</xdr:row>
      <xdr:rowOff>99397</xdr:rowOff>
    </xdr:from>
    <xdr:to>
      <xdr:col>1</xdr:col>
      <xdr:colOff>31659</xdr:colOff>
      <xdr:row>1</xdr:row>
      <xdr:rowOff>41670</xdr:rowOff>
    </xdr:to>
    <xdr:sp macro="" textlink="">
      <xdr:nvSpPr>
        <xdr:cNvPr id="13" name="TekstSylinder 12">
          <a:extLst>
            <a:ext uri="{FF2B5EF4-FFF2-40B4-BE49-F238E27FC236}">
              <a16:creationId xmlns:a16="http://schemas.microsoft.com/office/drawing/2014/main" id="{293608F7-C5B7-DFD0-F479-E20561A30E70}"/>
            </a:ext>
          </a:extLst>
        </xdr:cNvPr>
        <xdr:cNvSpPr txBox="1"/>
      </xdr:nvSpPr>
      <xdr:spPr>
        <a:xfrm>
          <a:off x="85095" y="99397"/>
          <a:ext cx="101023" cy="141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nb-NO" sz="900" b="1"/>
            <a:t>&amp;</a:t>
          </a:r>
        </a:p>
      </xdr:txBody>
    </xdr:sp>
    <xdr:clientData/>
  </xdr:twoCellAnchor>
  <xdr:twoCellAnchor>
    <xdr:from>
      <xdr:col>19</xdr:col>
      <xdr:colOff>179208</xdr:colOff>
      <xdr:row>0</xdr:row>
      <xdr:rowOff>133962</xdr:rowOff>
    </xdr:from>
    <xdr:to>
      <xdr:col>19</xdr:col>
      <xdr:colOff>454771</xdr:colOff>
      <xdr:row>0</xdr:row>
      <xdr:rowOff>184117</xdr:rowOff>
    </xdr:to>
    <xdr:sp macro="" textlink="">
      <xdr:nvSpPr>
        <xdr:cNvPr id="7" name="TekstSylinder 6">
          <a:extLst>
            <a:ext uri="{FF2B5EF4-FFF2-40B4-BE49-F238E27FC236}">
              <a16:creationId xmlns:a16="http://schemas.microsoft.com/office/drawing/2014/main" id="{8B355E57-3E36-40FF-98DA-F822506D5035}"/>
            </a:ext>
          </a:extLst>
        </xdr:cNvPr>
        <xdr:cNvSpPr txBox="1"/>
      </xdr:nvSpPr>
      <xdr:spPr>
        <a:xfrm>
          <a:off x="9574098" y="190425"/>
          <a:ext cx="275563" cy="501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nb-NO" sz="400"/>
            <a:t>A.Palmström</a:t>
          </a:r>
        </a:p>
      </xdr:txBody>
    </xdr:sp>
    <xdr:clientData/>
  </xdr:twoCellAnchor>
  <xdr:twoCellAnchor>
    <xdr:from>
      <xdr:col>1</xdr:col>
      <xdr:colOff>16981</xdr:colOff>
      <xdr:row>11</xdr:row>
      <xdr:rowOff>38743</xdr:rowOff>
    </xdr:from>
    <xdr:to>
      <xdr:col>1</xdr:col>
      <xdr:colOff>482220</xdr:colOff>
      <xdr:row>12</xdr:row>
      <xdr:rowOff>22254</xdr:rowOff>
    </xdr:to>
    <xdr:sp macro="" textlink="">
      <xdr:nvSpPr>
        <xdr:cNvPr id="2" name="TekstSylinder 1">
          <a:extLst>
            <a:ext uri="{FF2B5EF4-FFF2-40B4-BE49-F238E27FC236}">
              <a16:creationId xmlns:a16="http://schemas.microsoft.com/office/drawing/2014/main" id="{BB65D907-A8CC-4206-9D7A-8048284A0276}"/>
            </a:ext>
          </a:extLst>
        </xdr:cNvPr>
        <xdr:cNvSpPr txBox="1"/>
      </xdr:nvSpPr>
      <xdr:spPr>
        <a:xfrm>
          <a:off x="171906" y="1559300"/>
          <a:ext cx="465239" cy="98270"/>
        </a:xfrm>
        <a:prstGeom prst="rect">
          <a:avLst/>
        </a:prstGeom>
        <a:solidFill>
          <a:srgbClr val="FFFFF3"/>
        </a:solidFill>
        <a:ln w="317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r>
            <a:rPr lang="nb-NO" sz="700" b="0"/>
            <a:t> Defined by:</a:t>
          </a:r>
        </a:p>
      </xdr:txBody>
    </xdr:sp>
    <xdr:clientData/>
  </xdr:twoCellAnchor>
  <xdr:twoCellAnchor>
    <xdr:from>
      <xdr:col>14</xdr:col>
      <xdr:colOff>1</xdr:colOff>
      <xdr:row>117</xdr:row>
      <xdr:rowOff>3691</xdr:rowOff>
    </xdr:from>
    <xdr:to>
      <xdr:col>14</xdr:col>
      <xdr:colOff>138924</xdr:colOff>
      <xdr:row>123</xdr:row>
      <xdr:rowOff>160439</xdr:rowOff>
    </xdr:to>
    <xdr:sp macro="" textlink="">
      <xdr:nvSpPr>
        <xdr:cNvPr id="3" name="TekstSylinder 2">
          <a:extLst>
            <a:ext uri="{FF2B5EF4-FFF2-40B4-BE49-F238E27FC236}">
              <a16:creationId xmlns:a16="http://schemas.microsoft.com/office/drawing/2014/main" id="{00000000-0008-0000-0200-000003000000}"/>
            </a:ext>
          </a:extLst>
        </xdr:cNvPr>
        <xdr:cNvSpPr txBox="1"/>
      </xdr:nvSpPr>
      <xdr:spPr>
        <a:xfrm>
          <a:off x="6923943" y="15815191"/>
          <a:ext cx="138923" cy="1189844"/>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nb-NO" sz="900">
              <a:solidFill>
                <a:schemeClr val="bg1">
                  <a:lumMod val="85000"/>
                </a:schemeClr>
              </a:solidFill>
            </a:rPr>
            <a:t>Joint conditions</a:t>
          </a:r>
        </a:p>
      </xdr:txBody>
    </xdr:sp>
    <xdr:clientData/>
  </xdr:twoCellAnchor>
  <xdr:twoCellAnchor>
    <xdr:from>
      <xdr:col>13</xdr:col>
      <xdr:colOff>321623</xdr:colOff>
      <xdr:row>117</xdr:row>
      <xdr:rowOff>12370</xdr:rowOff>
    </xdr:from>
    <xdr:to>
      <xdr:col>13</xdr:col>
      <xdr:colOff>321623</xdr:colOff>
      <xdr:row>123</xdr:row>
      <xdr:rowOff>173181</xdr:rowOff>
    </xdr:to>
    <xdr:cxnSp macro="">
      <xdr:nvCxnSpPr>
        <xdr:cNvPr id="5" name="Rett linje 4">
          <a:extLst>
            <a:ext uri="{FF2B5EF4-FFF2-40B4-BE49-F238E27FC236}">
              <a16:creationId xmlns:a16="http://schemas.microsoft.com/office/drawing/2014/main" id="{00000000-0008-0000-0200-000005000000}"/>
            </a:ext>
          </a:extLst>
        </xdr:cNvPr>
        <xdr:cNvCxnSpPr/>
      </xdr:nvCxnSpPr>
      <xdr:spPr bwMode="auto">
        <a:xfrm>
          <a:off x="6902532" y="15617289"/>
          <a:ext cx="0" cy="1206087"/>
        </a:xfrm>
        <a:prstGeom prst="line">
          <a:avLst/>
        </a:prstGeom>
        <a:solidFill>
          <a:srgbClr val="FFFFFF"/>
        </a:solidFill>
        <a:ln w="3175" cap="flat" cmpd="sng" algn="ctr">
          <a:solidFill>
            <a:srgbClr val="000000"/>
          </a:solidFill>
          <a:prstDash val="sysDash"/>
          <a:round/>
          <a:headEnd type="none" w="med" len="med"/>
          <a:tailEnd type="none" w="med" len="med"/>
        </a:ln>
        <a:effectLst/>
      </xdr:spPr>
    </xdr:cxnSp>
    <xdr:clientData/>
  </xdr:twoCellAnchor>
  <xdr:twoCellAnchor>
    <xdr:from>
      <xdr:col>2</xdr:col>
      <xdr:colOff>22152</xdr:colOff>
      <xdr:row>19</xdr:row>
      <xdr:rowOff>9906</xdr:rowOff>
    </xdr:from>
    <xdr:to>
      <xdr:col>4</xdr:col>
      <xdr:colOff>335387</xdr:colOff>
      <xdr:row>19</xdr:row>
      <xdr:rowOff>114033</xdr:rowOff>
    </xdr:to>
    <xdr:sp macro="" textlink="">
      <xdr:nvSpPr>
        <xdr:cNvPr id="11" name="TekstSylinder 10">
          <a:extLst>
            <a:ext uri="{FF2B5EF4-FFF2-40B4-BE49-F238E27FC236}">
              <a16:creationId xmlns:a16="http://schemas.microsoft.com/office/drawing/2014/main" id="{00000000-0008-0000-0200-00000B000000}"/>
            </a:ext>
          </a:extLst>
        </xdr:cNvPr>
        <xdr:cNvSpPr txBox="1"/>
      </xdr:nvSpPr>
      <xdr:spPr>
        <a:xfrm>
          <a:off x="927027" y="2657856"/>
          <a:ext cx="1084760" cy="104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GB" sz="700" b="1">
              <a:latin typeface="Arial" panose="020B0604020202020204" pitchFamily="34" charset="0"/>
              <a:cs typeface="Arial" panose="020B0604020202020204" pitchFamily="34" charset="0"/>
            </a:rPr>
            <a:t>Orientation of </a:t>
          </a:r>
          <a:r>
            <a:rPr lang="en-GB" sz="700" b="1" i="1">
              <a:latin typeface="Arial" panose="020B0604020202020204" pitchFamily="34" charset="0"/>
              <a:cs typeface="Arial" panose="020B0604020202020204" pitchFamily="34" charset="0"/>
            </a:rPr>
            <a:t>mai</a:t>
          </a:r>
          <a:r>
            <a:rPr lang="en-GB" sz="700" b="1">
              <a:latin typeface="Arial" panose="020B0604020202020204" pitchFamily="34" charset="0"/>
              <a:cs typeface="Arial" panose="020B0604020202020204" pitchFamily="34" charset="0"/>
            </a:rPr>
            <a:t>n joint set </a:t>
          </a:r>
        </a:p>
      </xdr:txBody>
    </xdr:sp>
    <xdr:clientData/>
  </xdr:twoCellAnchor>
  <xdr:oneCellAnchor>
    <xdr:from>
      <xdr:col>18</xdr:col>
      <xdr:colOff>366449</xdr:colOff>
      <xdr:row>56</xdr:row>
      <xdr:rowOff>132057</xdr:rowOff>
    </xdr:from>
    <xdr:ext cx="513471" cy="314691"/>
    <xdr:pic>
      <xdr:nvPicPr>
        <xdr:cNvPr id="31" name="Picture 3">
          <a:extLst>
            <a:ext uri="{FF2B5EF4-FFF2-40B4-BE49-F238E27FC236}">
              <a16:creationId xmlns:a16="http://schemas.microsoft.com/office/drawing/2014/main" id="{5FA24B96-27D9-4937-ADEF-3ED72030E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0586" y="7035575"/>
          <a:ext cx="513471" cy="314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20706</xdr:colOff>
      <xdr:row>18</xdr:row>
      <xdr:rowOff>31058</xdr:rowOff>
    </xdr:from>
    <xdr:ext cx="1165768" cy="88422"/>
    <xdr:sp macro="" textlink="">
      <xdr:nvSpPr>
        <xdr:cNvPr id="8" name="TekstSylinder 7">
          <a:extLst>
            <a:ext uri="{FF2B5EF4-FFF2-40B4-BE49-F238E27FC236}">
              <a16:creationId xmlns:a16="http://schemas.microsoft.com/office/drawing/2014/main" id="{CD63D0B3-0D76-4200-A734-640A8E0DF815}"/>
            </a:ext>
          </a:extLst>
        </xdr:cNvPr>
        <xdr:cNvSpPr txBox="1"/>
      </xdr:nvSpPr>
      <xdr:spPr>
        <a:xfrm>
          <a:off x="896048" y="2643781"/>
          <a:ext cx="1165768" cy="88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nb-NO" sz="600" i="1">
              <a:solidFill>
                <a:srgbClr val="0000CC"/>
              </a:solidFill>
              <a:latin typeface="Arial" panose="020B0604020202020204" pitchFamily="34" charset="0"/>
              <a:cs typeface="Arial" panose="020B0604020202020204" pitchFamily="34" charset="0"/>
            </a:rPr>
            <a:t>in area 25 - 50 m</a:t>
          </a:r>
          <a:r>
            <a:rPr lang="nb-NO" sz="600" i="1" baseline="30000">
              <a:solidFill>
                <a:srgbClr val="0000CC"/>
              </a:solidFill>
              <a:latin typeface="Arial" panose="020B0604020202020204" pitchFamily="34" charset="0"/>
              <a:cs typeface="Arial" panose="020B0604020202020204" pitchFamily="34" charset="0"/>
            </a:rPr>
            <a:t>2</a:t>
          </a:r>
          <a:r>
            <a:rPr lang="nb-NO" sz="600" i="1">
              <a:solidFill>
                <a:srgbClr val="0000CC"/>
              </a:solidFill>
              <a:latin typeface="Arial" panose="020B0604020202020204" pitchFamily="34" charset="0"/>
              <a:cs typeface="Arial" panose="020B0604020202020204" pitchFamily="34" charset="0"/>
            </a:rPr>
            <a:t> or</a:t>
          </a:r>
          <a:r>
            <a:rPr lang="nb-NO" sz="600" i="1" baseline="0">
              <a:solidFill>
                <a:srgbClr val="0000CC"/>
              </a:solidFill>
              <a:latin typeface="Arial" panose="020B0604020202020204" pitchFamily="34" charset="0"/>
              <a:cs typeface="Arial" panose="020B0604020202020204" pitchFamily="34" charset="0"/>
            </a:rPr>
            <a:t> 1 blast round</a:t>
          </a:r>
          <a:endParaRPr lang="nb-NO" sz="600" i="1">
            <a:solidFill>
              <a:srgbClr val="0000CC"/>
            </a:solidFill>
            <a:latin typeface="Arial" panose="020B0604020202020204" pitchFamily="34" charset="0"/>
            <a:cs typeface="Arial" panose="020B0604020202020204" pitchFamily="34" charset="0"/>
          </a:endParaRPr>
        </a:p>
      </xdr:txBody>
    </xdr:sp>
    <xdr:clientData/>
  </xdr:oneCellAnchor>
  <xdr:twoCellAnchor>
    <xdr:from>
      <xdr:col>3</xdr:col>
      <xdr:colOff>107325</xdr:colOff>
      <xdr:row>25</xdr:row>
      <xdr:rowOff>13415</xdr:rowOff>
    </xdr:from>
    <xdr:to>
      <xdr:col>4</xdr:col>
      <xdr:colOff>1</xdr:colOff>
      <xdr:row>28</xdr:row>
      <xdr:rowOff>73786</xdr:rowOff>
    </xdr:to>
    <xdr:sp macro="" textlink="">
      <xdr:nvSpPr>
        <xdr:cNvPr id="9" name="TekstSylinder 8">
          <a:extLst>
            <a:ext uri="{FF2B5EF4-FFF2-40B4-BE49-F238E27FC236}">
              <a16:creationId xmlns:a16="http://schemas.microsoft.com/office/drawing/2014/main" id="{55D7736E-71AB-47AB-B569-2A2D78C8C9F5}"/>
            </a:ext>
          </a:extLst>
        </xdr:cNvPr>
        <xdr:cNvSpPr txBox="1"/>
      </xdr:nvSpPr>
      <xdr:spPr>
        <a:xfrm>
          <a:off x="1435459" y="3192887"/>
          <a:ext cx="328679" cy="409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nb-NO" sz="700" i="1">
              <a:solidFill>
                <a:srgbClr val="0000CC"/>
              </a:solidFill>
            </a:rPr>
            <a:t>fill in for A </a:t>
          </a:r>
          <a:r>
            <a:rPr lang="nb-NO" sz="600" i="1">
              <a:solidFill>
                <a:srgbClr val="0000CC"/>
              </a:solidFill>
            </a:rPr>
            <a:t>or</a:t>
          </a:r>
          <a:r>
            <a:rPr lang="nb-NO" sz="700" i="1">
              <a:solidFill>
                <a:srgbClr val="0000CC"/>
              </a:solidFill>
            </a:rPr>
            <a:t> B</a:t>
          </a:r>
        </a:p>
      </xdr:txBody>
    </xdr:sp>
    <xdr:clientData/>
  </xdr:twoCellAnchor>
  <xdr:twoCellAnchor>
    <xdr:from>
      <xdr:col>15</xdr:col>
      <xdr:colOff>22952</xdr:colOff>
      <xdr:row>22</xdr:row>
      <xdr:rowOff>45051</xdr:rowOff>
    </xdr:from>
    <xdr:to>
      <xdr:col>15</xdr:col>
      <xdr:colOff>358526</xdr:colOff>
      <xdr:row>23</xdr:row>
      <xdr:rowOff>96538</xdr:rowOff>
    </xdr:to>
    <xdr:sp macro="" textlink="">
      <xdr:nvSpPr>
        <xdr:cNvPr id="23" name="TekstSylinder 22">
          <a:extLst>
            <a:ext uri="{FF2B5EF4-FFF2-40B4-BE49-F238E27FC236}">
              <a16:creationId xmlns:a16="http://schemas.microsoft.com/office/drawing/2014/main" id="{135A6ACD-669E-4FDB-945D-22A11D52AB50}"/>
            </a:ext>
          </a:extLst>
        </xdr:cNvPr>
        <xdr:cNvSpPr txBox="1"/>
      </xdr:nvSpPr>
      <xdr:spPr>
        <a:xfrm>
          <a:off x="7177404" y="2854391"/>
          <a:ext cx="335574" cy="17456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nb-NO" sz="700">
              <a:latin typeface="Arial" panose="020B0604020202020204" pitchFamily="34" charset="0"/>
              <a:cs typeface="Arial" panose="020B0604020202020204" pitchFamily="34" charset="0"/>
            </a:rPr>
            <a:t>Jr </a:t>
          </a:r>
          <a:r>
            <a:rPr lang="nb-NO" sz="500">
              <a:latin typeface="Arial" panose="020B0604020202020204" pitchFamily="34" charset="0"/>
              <a:cs typeface="Arial" panose="020B0604020202020204" pitchFamily="34" charset="0"/>
            </a:rPr>
            <a:t>or</a:t>
          </a:r>
          <a:r>
            <a:rPr lang="nb-NO" sz="700">
              <a:latin typeface="Arial" panose="020B0604020202020204" pitchFamily="34" charset="0"/>
              <a:cs typeface="Arial" panose="020B0604020202020204" pitchFamily="34" charset="0"/>
            </a:rPr>
            <a:t> jR</a:t>
          </a:r>
        </a:p>
      </xdr:txBody>
    </xdr:sp>
    <xdr:clientData/>
  </xdr:twoCellAnchor>
  <xdr:twoCellAnchor editAs="oneCell">
    <xdr:from>
      <xdr:col>19</xdr:col>
      <xdr:colOff>186424</xdr:colOff>
      <xdr:row>0</xdr:row>
      <xdr:rowOff>1943</xdr:rowOff>
    </xdr:from>
    <xdr:to>
      <xdr:col>20</xdr:col>
      <xdr:colOff>1311</xdr:colOff>
      <xdr:row>0</xdr:row>
      <xdr:rowOff>142111</xdr:rowOff>
    </xdr:to>
    <xdr:pic>
      <xdr:nvPicPr>
        <xdr:cNvPr id="17" name="Bilde 16">
          <a:extLst>
            <a:ext uri="{FF2B5EF4-FFF2-40B4-BE49-F238E27FC236}">
              <a16:creationId xmlns:a16="http://schemas.microsoft.com/office/drawing/2014/main" id="{EAAF8AAE-0E13-428F-BA10-89DEAD6B7C4C}"/>
            </a:ext>
          </a:extLst>
        </xdr:cNvPr>
        <xdr:cNvPicPr/>
      </xdr:nvPicPr>
      <xdr:blipFill>
        <a:blip xmlns:r="http://schemas.openxmlformats.org/officeDocument/2006/relationships" r:embed="rId2"/>
        <a:stretch>
          <a:fillRect/>
        </a:stretch>
      </xdr:blipFill>
      <xdr:spPr>
        <a:xfrm>
          <a:off x="9408480" y="1943"/>
          <a:ext cx="279662" cy="140168"/>
        </a:xfrm>
        <a:prstGeom prst="rect">
          <a:avLst/>
        </a:prstGeom>
      </xdr:spPr>
    </xdr:pic>
    <xdr:clientData/>
  </xdr:twoCellAnchor>
  <xdr:twoCellAnchor editAs="oneCell">
    <xdr:from>
      <xdr:col>22</xdr:col>
      <xdr:colOff>153309</xdr:colOff>
      <xdr:row>89</xdr:row>
      <xdr:rowOff>97569</xdr:rowOff>
    </xdr:from>
    <xdr:to>
      <xdr:col>29</xdr:col>
      <xdr:colOff>17878</xdr:colOff>
      <xdr:row>99</xdr:row>
      <xdr:rowOff>37581</xdr:rowOff>
    </xdr:to>
    <xdr:pic>
      <xdr:nvPicPr>
        <xdr:cNvPr id="6" name="Bilde 5">
          <a:extLst>
            <a:ext uri="{FF2B5EF4-FFF2-40B4-BE49-F238E27FC236}">
              <a16:creationId xmlns:a16="http://schemas.microsoft.com/office/drawing/2014/main" id="{78A67620-69AC-4AF2-B87C-2FA6EFF60C93}"/>
            </a:ext>
          </a:extLst>
        </xdr:cNvPr>
        <xdr:cNvPicPr>
          <a:picLocks noChangeAspect="1"/>
        </xdr:cNvPicPr>
      </xdr:nvPicPr>
      <xdr:blipFill>
        <a:blip xmlns:r="http://schemas.openxmlformats.org/officeDocument/2006/relationships" r:embed="rId3"/>
        <a:stretch>
          <a:fillRect/>
        </a:stretch>
      </xdr:blipFill>
      <xdr:spPr>
        <a:xfrm>
          <a:off x="9993896" y="11912012"/>
          <a:ext cx="3277755" cy="1271217"/>
        </a:xfrm>
        <a:prstGeom prst="rect">
          <a:avLst/>
        </a:prstGeom>
      </xdr:spPr>
    </xdr:pic>
    <xdr:clientData/>
  </xdr:twoCellAnchor>
  <xdr:twoCellAnchor>
    <xdr:from>
      <xdr:col>1</xdr:col>
      <xdr:colOff>120824</xdr:colOff>
      <xdr:row>37</xdr:row>
      <xdr:rowOff>6453</xdr:rowOff>
    </xdr:from>
    <xdr:to>
      <xdr:col>1</xdr:col>
      <xdr:colOff>124475</xdr:colOff>
      <xdr:row>46</xdr:row>
      <xdr:rowOff>136358</xdr:rowOff>
    </xdr:to>
    <xdr:cxnSp macro="">
      <xdr:nvCxnSpPr>
        <xdr:cNvPr id="14" name="Rett linje 13">
          <a:extLst>
            <a:ext uri="{FF2B5EF4-FFF2-40B4-BE49-F238E27FC236}">
              <a16:creationId xmlns:a16="http://schemas.microsoft.com/office/drawing/2014/main" id="{2EE03BB0-D4B3-4248-9187-46252596F0D3}"/>
            </a:ext>
          </a:extLst>
        </xdr:cNvPr>
        <xdr:cNvCxnSpPr/>
      </xdr:nvCxnSpPr>
      <xdr:spPr bwMode="auto">
        <a:xfrm flipH="1">
          <a:off x="271942" y="4462138"/>
          <a:ext cx="3651" cy="1251840"/>
        </a:xfrm>
        <a:prstGeom prst="line">
          <a:avLst/>
        </a:prstGeom>
        <a:solidFill>
          <a:srgbClr val="FFFFFF"/>
        </a:solidFill>
        <a:ln w="3175" cap="flat" cmpd="sng" algn="ctr">
          <a:solidFill>
            <a:srgbClr val="000000"/>
          </a:solidFill>
          <a:prstDash val="sysDot"/>
          <a:round/>
          <a:headEnd type="none" w="med" len="med"/>
          <a:tailEnd type="none" w="med" len="med"/>
        </a:ln>
        <a:effectLst/>
      </xdr:spPr>
    </xdr:cxnSp>
    <xdr:clientData/>
  </xdr:twoCellAnchor>
  <xdr:twoCellAnchor>
    <xdr:from>
      <xdr:col>5</xdr:col>
      <xdr:colOff>15224</xdr:colOff>
      <xdr:row>4</xdr:row>
      <xdr:rowOff>4703</xdr:rowOff>
    </xdr:from>
    <xdr:to>
      <xdr:col>5</xdr:col>
      <xdr:colOff>60943</xdr:colOff>
      <xdr:row>4</xdr:row>
      <xdr:rowOff>120324</xdr:rowOff>
    </xdr:to>
    <xdr:sp macro="" textlink="">
      <xdr:nvSpPr>
        <xdr:cNvPr id="15" name="TekstSylinder 14">
          <a:extLst>
            <a:ext uri="{FF2B5EF4-FFF2-40B4-BE49-F238E27FC236}">
              <a16:creationId xmlns:a16="http://schemas.microsoft.com/office/drawing/2014/main" id="{4F7430AE-E7AB-4B6B-969F-26BA845B8B2E}"/>
            </a:ext>
          </a:extLst>
        </xdr:cNvPr>
        <xdr:cNvSpPr txBox="1"/>
      </xdr:nvSpPr>
      <xdr:spPr>
        <a:xfrm>
          <a:off x="2261418" y="740403"/>
          <a:ext cx="45719" cy="115621"/>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b-NO" sz="600"/>
            <a:t>1</a:t>
          </a:r>
        </a:p>
      </xdr:txBody>
    </xdr:sp>
    <xdr:clientData/>
  </xdr:twoCellAnchor>
  <xdr:twoCellAnchor>
    <xdr:from>
      <xdr:col>5</xdr:col>
      <xdr:colOff>15812</xdr:colOff>
      <xdr:row>5</xdr:row>
      <xdr:rowOff>5412</xdr:rowOff>
    </xdr:from>
    <xdr:to>
      <xdr:col>5</xdr:col>
      <xdr:colOff>65719</xdr:colOff>
      <xdr:row>6</xdr:row>
      <xdr:rowOff>1</xdr:rowOff>
    </xdr:to>
    <xdr:sp macro="" textlink="">
      <xdr:nvSpPr>
        <xdr:cNvPr id="16" name="TekstSylinder 15">
          <a:extLst>
            <a:ext uri="{FF2B5EF4-FFF2-40B4-BE49-F238E27FC236}">
              <a16:creationId xmlns:a16="http://schemas.microsoft.com/office/drawing/2014/main" id="{99FFFBA6-D5AC-4BC4-9F64-FD2D3E37E2E4}"/>
            </a:ext>
          </a:extLst>
        </xdr:cNvPr>
        <xdr:cNvSpPr txBox="1"/>
      </xdr:nvSpPr>
      <xdr:spPr>
        <a:xfrm>
          <a:off x="2262006" y="865505"/>
          <a:ext cx="49907" cy="118983"/>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nb-NO" sz="600"/>
            <a:t>2</a:t>
          </a:r>
        </a:p>
      </xdr:txBody>
    </xdr:sp>
    <xdr:clientData/>
  </xdr:twoCellAnchor>
  <xdr:twoCellAnchor>
    <xdr:from>
      <xdr:col>5</xdr:col>
      <xdr:colOff>18356</xdr:colOff>
      <xdr:row>6</xdr:row>
      <xdr:rowOff>3899</xdr:rowOff>
    </xdr:from>
    <xdr:to>
      <xdr:col>5</xdr:col>
      <xdr:colOff>64075</xdr:colOff>
      <xdr:row>6</xdr:row>
      <xdr:rowOff>118458</xdr:rowOff>
    </xdr:to>
    <xdr:sp macro="" textlink="">
      <xdr:nvSpPr>
        <xdr:cNvPr id="24" name="TekstSylinder 23">
          <a:extLst>
            <a:ext uri="{FF2B5EF4-FFF2-40B4-BE49-F238E27FC236}">
              <a16:creationId xmlns:a16="http://schemas.microsoft.com/office/drawing/2014/main" id="{0C02BBC5-0067-4236-851B-8E28985F9C14}"/>
            </a:ext>
          </a:extLst>
        </xdr:cNvPr>
        <xdr:cNvSpPr txBox="1"/>
      </xdr:nvSpPr>
      <xdr:spPr>
        <a:xfrm>
          <a:off x="2264550" y="988386"/>
          <a:ext cx="45719" cy="114559"/>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b-NO" sz="600"/>
            <a:t>3</a:t>
          </a:r>
        </a:p>
      </xdr:txBody>
    </xdr:sp>
    <xdr:clientData/>
  </xdr:twoCellAnchor>
  <xdr:twoCellAnchor>
    <xdr:from>
      <xdr:col>5</xdr:col>
      <xdr:colOff>5933</xdr:colOff>
      <xdr:row>2</xdr:row>
      <xdr:rowOff>14600</xdr:rowOff>
    </xdr:from>
    <xdr:to>
      <xdr:col>5</xdr:col>
      <xdr:colOff>73269</xdr:colOff>
      <xdr:row>4</xdr:row>
      <xdr:rowOff>488</xdr:rowOff>
    </xdr:to>
    <xdr:sp macro="" textlink="">
      <xdr:nvSpPr>
        <xdr:cNvPr id="27" name="TekstSylinder 26">
          <a:extLst>
            <a:ext uri="{FF2B5EF4-FFF2-40B4-BE49-F238E27FC236}">
              <a16:creationId xmlns:a16="http://schemas.microsoft.com/office/drawing/2014/main" id="{80FF4A19-5772-410B-B781-BC3F47D1341A}"/>
            </a:ext>
          </a:extLst>
        </xdr:cNvPr>
        <xdr:cNvSpPr txBox="1"/>
      </xdr:nvSpPr>
      <xdr:spPr>
        <a:xfrm rot="16200000">
          <a:off x="2142917" y="517257"/>
          <a:ext cx="251878" cy="67336"/>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gn="l"/>
          <a:r>
            <a:rPr lang="nb-NO" sz="400">
              <a:latin typeface="Calibri" panose="020F0502020204030204" pitchFamily="34" charset="0"/>
              <a:cs typeface="Calibri" panose="020F0502020204030204" pitchFamily="34" charset="0"/>
            </a:rPr>
            <a:t>← </a:t>
          </a:r>
          <a:r>
            <a:rPr lang="nb-NO" sz="600"/>
            <a:t>set</a:t>
          </a:r>
          <a:r>
            <a:rPr lang="nb-NO" sz="600" baseline="0"/>
            <a:t> no</a:t>
          </a:r>
          <a:endParaRPr lang="nb-NO" sz="600"/>
        </a:p>
      </xdr:txBody>
    </xdr:sp>
    <xdr:clientData/>
  </xdr:twoCellAnchor>
  <xdr:twoCellAnchor editAs="oneCell">
    <xdr:from>
      <xdr:col>1</xdr:col>
      <xdr:colOff>154171</xdr:colOff>
      <xdr:row>37</xdr:row>
      <xdr:rowOff>103540</xdr:rowOff>
    </xdr:from>
    <xdr:to>
      <xdr:col>5</xdr:col>
      <xdr:colOff>504202</xdr:colOff>
      <xdr:row>45</xdr:row>
      <xdr:rowOff>7911</xdr:rowOff>
    </xdr:to>
    <xdr:pic>
      <xdr:nvPicPr>
        <xdr:cNvPr id="25" name="Bilde 24">
          <a:extLst>
            <a:ext uri="{FF2B5EF4-FFF2-40B4-BE49-F238E27FC236}">
              <a16:creationId xmlns:a16="http://schemas.microsoft.com/office/drawing/2014/main" id="{9FB2269A-0291-4AFB-81C5-3AF39F7B130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6815" y="4511905"/>
          <a:ext cx="2419886" cy="893504"/>
        </a:xfrm>
        <a:prstGeom prst="rect">
          <a:avLst/>
        </a:prstGeom>
      </xdr:spPr>
    </xdr:pic>
    <xdr:clientData/>
  </xdr:twoCellAnchor>
  <xdr:twoCellAnchor>
    <xdr:from>
      <xdr:col>10</xdr:col>
      <xdr:colOff>306260</xdr:colOff>
      <xdr:row>1</xdr:row>
      <xdr:rowOff>4099</xdr:rowOff>
    </xdr:from>
    <xdr:to>
      <xdr:col>14</xdr:col>
      <xdr:colOff>186629</xdr:colOff>
      <xdr:row>1</xdr:row>
      <xdr:rowOff>84292</xdr:rowOff>
    </xdr:to>
    <xdr:sp macro="" textlink="">
      <xdr:nvSpPr>
        <xdr:cNvPr id="28" name="TekstSylinder 27">
          <a:extLst>
            <a:ext uri="{FF2B5EF4-FFF2-40B4-BE49-F238E27FC236}">
              <a16:creationId xmlns:a16="http://schemas.microsoft.com/office/drawing/2014/main" id="{510B68CE-6ED8-4310-946D-C0794D99B7A0}"/>
            </a:ext>
          </a:extLst>
        </xdr:cNvPr>
        <xdr:cNvSpPr txBox="1"/>
      </xdr:nvSpPr>
      <xdr:spPr>
        <a:xfrm>
          <a:off x="5268251" y="203590"/>
          <a:ext cx="1872471" cy="80193"/>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lstStyle/>
        <a:p>
          <a:pPr algn="ctr"/>
          <a:r>
            <a:rPr lang="nb-NO" sz="600" b="0">
              <a:solidFill>
                <a:srgbClr val="0000CC"/>
              </a:solidFill>
              <a:latin typeface="+mn-lt"/>
              <a:cs typeface="Arial" panose="020B0604020202020204" pitchFamily="34" charset="0"/>
            </a:rPr>
            <a:t>  You may indicate your interpretations by changing the</a:t>
          </a:r>
        </a:p>
      </xdr:txBody>
    </xdr:sp>
    <xdr:clientData/>
  </xdr:twoCellAnchor>
  <xdr:twoCellAnchor>
    <xdr:from>
      <xdr:col>10</xdr:col>
      <xdr:colOff>230397</xdr:colOff>
      <xdr:row>1</xdr:row>
      <xdr:rowOff>99737</xdr:rowOff>
    </xdr:from>
    <xdr:to>
      <xdr:col>14</xdr:col>
      <xdr:colOff>196982</xdr:colOff>
      <xdr:row>1</xdr:row>
      <xdr:rowOff>174540</xdr:rowOff>
    </xdr:to>
    <xdr:sp macro="" textlink="">
      <xdr:nvSpPr>
        <xdr:cNvPr id="29" name="TekstSylinder 28">
          <a:extLst>
            <a:ext uri="{FF2B5EF4-FFF2-40B4-BE49-F238E27FC236}">
              <a16:creationId xmlns:a16="http://schemas.microsoft.com/office/drawing/2014/main" id="{5E52B77B-EF42-43DD-A2FF-16A86B2A3B49}"/>
            </a:ext>
          </a:extLst>
        </xdr:cNvPr>
        <xdr:cNvSpPr txBox="1"/>
      </xdr:nvSpPr>
      <xdr:spPr>
        <a:xfrm>
          <a:off x="5192388" y="299228"/>
          <a:ext cx="1958687" cy="74803"/>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nb-NO" sz="600" b="0">
              <a:solidFill>
                <a:srgbClr val="0000CC"/>
              </a:solidFill>
              <a:latin typeface="+mn-lt"/>
              <a:cs typeface="Arial" panose="020B0604020202020204" pitchFamily="34" charset="0"/>
            </a:rPr>
            <a:t>parameter rating observed to the input rating used</a:t>
          </a:r>
        </a:p>
      </xdr:txBody>
    </xdr:sp>
    <xdr:clientData/>
  </xdr:twoCellAnchor>
  <xdr:twoCellAnchor>
    <xdr:from>
      <xdr:col>15</xdr:col>
      <xdr:colOff>15071</xdr:colOff>
      <xdr:row>1</xdr:row>
      <xdr:rowOff>112206</xdr:rowOff>
    </xdr:from>
    <xdr:to>
      <xdr:col>16</xdr:col>
      <xdr:colOff>217025</xdr:colOff>
      <xdr:row>2</xdr:row>
      <xdr:rowOff>24114</xdr:rowOff>
    </xdr:to>
    <xdr:sp macro="" textlink="">
      <xdr:nvSpPr>
        <xdr:cNvPr id="30" name="TekstSylinder 29">
          <a:extLst>
            <a:ext uri="{FF2B5EF4-FFF2-40B4-BE49-F238E27FC236}">
              <a16:creationId xmlns:a16="http://schemas.microsoft.com/office/drawing/2014/main" id="{96E2E850-E8A4-4DDA-AFAE-FD16B470A18F}"/>
            </a:ext>
          </a:extLst>
        </xdr:cNvPr>
        <xdr:cNvSpPr txBox="1"/>
      </xdr:nvSpPr>
      <xdr:spPr>
        <a:xfrm>
          <a:off x="7198006" y="311146"/>
          <a:ext cx="774660" cy="122905"/>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nb-NO" sz="800" b="1">
              <a:solidFill>
                <a:schemeClr val="tx1"/>
              </a:solidFill>
              <a:latin typeface="Arial" panose="020B0604020202020204" pitchFamily="34" charset="0"/>
              <a:cs typeface="Arial" panose="020B0604020202020204" pitchFamily="34" charset="0"/>
            </a:rPr>
            <a:t>  GROUND</a:t>
          </a:r>
        </a:p>
      </xdr:txBody>
    </xdr:sp>
    <xdr:clientData/>
  </xdr:twoCellAnchor>
  <xdr:twoCellAnchor>
    <xdr:from>
      <xdr:col>16</xdr:col>
      <xdr:colOff>286748</xdr:colOff>
      <xdr:row>1</xdr:row>
      <xdr:rowOff>92257</xdr:rowOff>
    </xdr:from>
    <xdr:to>
      <xdr:col>16</xdr:col>
      <xdr:colOff>286748</xdr:colOff>
      <xdr:row>2</xdr:row>
      <xdr:rowOff>137140</xdr:rowOff>
    </xdr:to>
    <xdr:cxnSp macro="">
      <xdr:nvCxnSpPr>
        <xdr:cNvPr id="20" name="Rett linje 19">
          <a:extLst>
            <a:ext uri="{FF2B5EF4-FFF2-40B4-BE49-F238E27FC236}">
              <a16:creationId xmlns:a16="http://schemas.microsoft.com/office/drawing/2014/main" id="{1B7479FB-5E5F-4127-BC84-3798674D2A25}"/>
            </a:ext>
          </a:extLst>
        </xdr:cNvPr>
        <xdr:cNvCxnSpPr/>
      </xdr:nvCxnSpPr>
      <xdr:spPr bwMode="auto">
        <a:xfrm>
          <a:off x="8038901" y="281760"/>
          <a:ext cx="0" cy="234385"/>
        </a:xfrm>
        <a:prstGeom prst="line">
          <a:avLst/>
        </a:prstGeom>
        <a:solidFill>
          <a:srgbClr val="FFFFFF"/>
        </a:solidFill>
        <a:ln w="9525" cap="flat" cmpd="sng" algn="ctr">
          <a:solidFill>
            <a:srgbClr val="0000CC"/>
          </a:solidFill>
          <a:prstDash val="dash"/>
          <a:round/>
          <a:headEnd type="none" w="med" len="med"/>
          <a:tailEnd type="triangle" w="med" len="med"/>
        </a:ln>
        <a:effectLst/>
      </xdr:spPr>
    </xdr:cxnSp>
    <xdr:clientData/>
  </xdr:twoCellAnchor>
  <xdr:twoCellAnchor>
    <xdr:from>
      <xdr:col>15</xdr:col>
      <xdr:colOff>15071</xdr:colOff>
      <xdr:row>2</xdr:row>
      <xdr:rowOff>24114</xdr:rowOff>
    </xdr:from>
    <xdr:to>
      <xdr:col>16</xdr:col>
      <xdr:colOff>217025</xdr:colOff>
      <xdr:row>2</xdr:row>
      <xdr:rowOff>135806</xdr:rowOff>
    </xdr:to>
    <xdr:sp macro="" textlink="">
      <xdr:nvSpPr>
        <xdr:cNvPr id="32" name="TekstSylinder 31">
          <a:extLst>
            <a:ext uri="{FF2B5EF4-FFF2-40B4-BE49-F238E27FC236}">
              <a16:creationId xmlns:a16="http://schemas.microsoft.com/office/drawing/2014/main" id="{2CB66AED-3220-4656-84ED-C15990C52695}"/>
            </a:ext>
          </a:extLst>
        </xdr:cNvPr>
        <xdr:cNvSpPr txBox="1"/>
      </xdr:nvSpPr>
      <xdr:spPr>
        <a:xfrm>
          <a:off x="7198006" y="434051"/>
          <a:ext cx="774660" cy="111692"/>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nb-NO" sz="800" b="1">
              <a:solidFill>
                <a:schemeClr val="tx1"/>
              </a:solidFill>
              <a:latin typeface="Arial" panose="020B0604020202020204" pitchFamily="34" charset="0"/>
              <a:cs typeface="Arial" panose="020B0604020202020204" pitchFamily="34" charset="0"/>
            </a:rPr>
            <a:t>CONDITIONS</a:t>
          </a:r>
        </a:p>
      </xdr:txBody>
    </xdr:sp>
    <xdr:clientData/>
  </xdr:twoCellAnchor>
  <xdr:twoCellAnchor>
    <xdr:from>
      <xdr:col>10</xdr:col>
      <xdr:colOff>450367</xdr:colOff>
      <xdr:row>1</xdr:row>
      <xdr:rowOff>93179</xdr:rowOff>
    </xdr:from>
    <xdr:to>
      <xdr:col>16</xdr:col>
      <xdr:colOff>279538</xdr:colOff>
      <xdr:row>1</xdr:row>
      <xdr:rowOff>98356</xdr:rowOff>
    </xdr:to>
    <xdr:cxnSp macro="">
      <xdr:nvCxnSpPr>
        <xdr:cNvPr id="21" name="Rett pilkobling 20">
          <a:extLst>
            <a:ext uri="{FF2B5EF4-FFF2-40B4-BE49-F238E27FC236}">
              <a16:creationId xmlns:a16="http://schemas.microsoft.com/office/drawing/2014/main" id="{1912E2FE-DFAA-4106-98B2-6AA504ADDB3C}"/>
            </a:ext>
          </a:extLst>
        </xdr:cNvPr>
        <xdr:cNvCxnSpPr/>
      </xdr:nvCxnSpPr>
      <xdr:spPr bwMode="auto">
        <a:xfrm flipV="1">
          <a:off x="5419932" y="295068"/>
          <a:ext cx="2609022" cy="5177"/>
        </a:xfrm>
        <a:prstGeom prst="straightConnector1">
          <a:avLst/>
        </a:prstGeom>
        <a:ln w="9525">
          <a:solidFill>
            <a:srgbClr val="0000CC"/>
          </a:solidFill>
          <a:prstDash val="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335320</xdr:colOff>
      <xdr:row>0</xdr:row>
      <xdr:rowOff>9720</xdr:rowOff>
    </xdr:from>
    <xdr:to>
      <xdr:col>4</xdr:col>
      <xdr:colOff>452242</xdr:colOff>
      <xdr:row>2</xdr:row>
      <xdr:rowOff>1</xdr:rowOff>
    </xdr:to>
    <xdr:sp macro="" textlink="">
      <xdr:nvSpPr>
        <xdr:cNvPr id="12" name="TekstSylinder 11">
          <a:extLst>
            <a:ext uri="{FF2B5EF4-FFF2-40B4-BE49-F238E27FC236}">
              <a16:creationId xmlns:a16="http://schemas.microsoft.com/office/drawing/2014/main" id="{20E2CA72-D1E4-16DD-EB18-AA1851B80189}"/>
            </a:ext>
          </a:extLst>
        </xdr:cNvPr>
        <xdr:cNvSpPr txBox="1"/>
      </xdr:nvSpPr>
      <xdr:spPr>
        <a:xfrm>
          <a:off x="2094529" y="9720"/>
          <a:ext cx="116922" cy="398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lIns="0" tIns="0" rIns="0" bIns="0" rtlCol="0" anchor="ctr"/>
        <a:lstStyle/>
        <a:p>
          <a:pPr algn="ctr"/>
          <a:r>
            <a:rPr lang="nb-NO" sz="700"/>
            <a:t>(</a:t>
          </a:r>
          <a:r>
            <a:rPr lang="nb-NO" sz="600"/>
            <a:t>version-4</a:t>
          </a:r>
          <a:r>
            <a:rPr lang="nb-NO" sz="700"/>
            <a:t>)</a:t>
          </a:r>
        </a:p>
      </xdr:txBody>
    </xdr:sp>
    <xdr:clientData/>
  </xdr:twoCellAnchor>
  <xdr:twoCellAnchor>
    <xdr:from>
      <xdr:col>7</xdr:col>
      <xdr:colOff>135381</xdr:colOff>
      <xdr:row>45</xdr:row>
      <xdr:rowOff>40247</xdr:rowOff>
    </xdr:from>
    <xdr:to>
      <xdr:col>7</xdr:col>
      <xdr:colOff>557289</xdr:colOff>
      <xdr:row>46</xdr:row>
      <xdr:rowOff>26830</xdr:rowOff>
    </xdr:to>
    <xdr:sp macro="" textlink="">
      <xdr:nvSpPr>
        <xdr:cNvPr id="18" name="TekstSylinder 17">
          <a:extLst>
            <a:ext uri="{FF2B5EF4-FFF2-40B4-BE49-F238E27FC236}">
              <a16:creationId xmlns:a16="http://schemas.microsoft.com/office/drawing/2014/main" id="{10B448C4-5F40-8173-B05D-6D999463E57D}"/>
            </a:ext>
          </a:extLst>
        </xdr:cNvPr>
        <xdr:cNvSpPr txBox="1"/>
      </xdr:nvSpPr>
      <xdr:spPr>
        <a:xfrm>
          <a:off x="3481219" y="5523166"/>
          <a:ext cx="421908" cy="1219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b"/>
        <a:lstStyle/>
        <a:p>
          <a:pPr algn="ctr"/>
          <a:r>
            <a:rPr lang="nb-NO" sz="600">
              <a:latin typeface="+mn-lt"/>
              <a:cs typeface="Arial" panose="020B0604020202020204" pitchFamily="34" charset="0"/>
            </a:rPr>
            <a:t>(</a:t>
          </a:r>
          <a:r>
            <a:rPr lang="nb-NO" sz="700">
              <a:latin typeface="+mn-lt"/>
              <a:cs typeface="Arial" panose="020B0604020202020204" pitchFamily="34" charset="0"/>
            </a:rPr>
            <a:t>Jw</a:t>
          </a:r>
          <a:r>
            <a:rPr lang="nb-NO" sz="600">
              <a:latin typeface="+mn-lt"/>
              <a:cs typeface="Arial" panose="020B0604020202020204" pitchFamily="34" charset="0"/>
            </a:rPr>
            <a:t> or </a:t>
          </a:r>
          <a:r>
            <a:rPr lang="nb-NO" sz="700">
              <a:latin typeface="+mn-lt"/>
              <a:cs typeface="Arial" panose="020B0604020202020204" pitchFamily="34" charset="0"/>
            </a:rPr>
            <a:t>GW</a:t>
          </a:r>
          <a:r>
            <a:rPr lang="nb-NO" sz="600">
              <a:latin typeface="+mn-lt"/>
              <a:cs typeface="Arial" panose="020B0604020202020204" pitchFamily="34" charset="0"/>
            </a:rPr>
            <a:t>)</a:t>
          </a:r>
        </a:p>
      </xdr:txBody>
    </xdr:sp>
    <xdr:clientData/>
  </xdr:twoCellAnchor>
  <xdr:twoCellAnchor editAs="oneCell">
    <xdr:from>
      <xdr:col>9</xdr:col>
      <xdr:colOff>28768</xdr:colOff>
      <xdr:row>2</xdr:row>
      <xdr:rowOff>29009</xdr:rowOff>
    </xdr:from>
    <xdr:to>
      <xdr:col>14</xdr:col>
      <xdr:colOff>187921</xdr:colOff>
      <xdr:row>7</xdr:row>
      <xdr:rowOff>85336</xdr:rowOff>
    </xdr:to>
    <xdr:pic>
      <xdr:nvPicPr>
        <xdr:cNvPr id="26" name="Bilde 25">
          <a:extLst>
            <a:ext uri="{FF2B5EF4-FFF2-40B4-BE49-F238E27FC236}">
              <a16:creationId xmlns:a16="http://schemas.microsoft.com/office/drawing/2014/main" id="{AB71F561-DFB3-9088-D424-E7BC030E71F0}"/>
            </a:ext>
          </a:extLst>
        </xdr:cNvPr>
        <xdr:cNvPicPr>
          <a:picLocks noChangeAspect="1"/>
        </xdr:cNvPicPr>
      </xdr:nvPicPr>
      <xdr:blipFill>
        <a:blip xmlns:r="http://schemas.openxmlformats.org/officeDocument/2006/relationships" r:embed="rId5"/>
        <a:stretch>
          <a:fillRect/>
        </a:stretch>
      </xdr:blipFill>
      <xdr:spPr>
        <a:xfrm>
          <a:off x="4457651" y="406141"/>
          <a:ext cx="2678202" cy="704221"/>
        </a:xfrm>
        <a:prstGeom prst="rect">
          <a:avLst/>
        </a:prstGeom>
      </xdr:spPr>
    </xdr:pic>
    <xdr:clientData/>
  </xdr:twoCellAnchor>
  <xdr:twoCellAnchor editAs="oneCell">
    <xdr:from>
      <xdr:col>31</xdr:col>
      <xdr:colOff>100496</xdr:colOff>
      <xdr:row>27</xdr:row>
      <xdr:rowOff>19811</xdr:rowOff>
    </xdr:from>
    <xdr:to>
      <xdr:col>33</xdr:col>
      <xdr:colOff>229925</xdr:colOff>
      <xdr:row>31</xdr:row>
      <xdr:rowOff>72832</xdr:rowOff>
    </xdr:to>
    <xdr:pic>
      <xdr:nvPicPr>
        <xdr:cNvPr id="4" name="Bilde 3">
          <a:extLst>
            <a:ext uri="{FF2B5EF4-FFF2-40B4-BE49-F238E27FC236}">
              <a16:creationId xmlns:a16="http://schemas.microsoft.com/office/drawing/2014/main" id="{400FFAA6-BE27-C445-1402-3480D556776F}"/>
            </a:ext>
          </a:extLst>
        </xdr:cNvPr>
        <xdr:cNvPicPr>
          <a:picLocks noChangeAspect="1"/>
        </xdr:cNvPicPr>
      </xdr:nvPicPr>
      <xdr:blipFill>
        <a:blip xmlns:r="http://schemas.openxmlformats.org/officeDocument/2006/relationships" r:embed="rId6"/>
        <a:stretch>
          <a:fillRect/>
        </a:stretch>
      </xdr:blipFill>
      <xdr:spPr>
        <a:xfrm>
          <a:off x="14707671" y="3360085"/>
          <a:ext cx="1519034" cy="496651"/>
        </a:xfrm>
        <a:prstGeom prst="rect">
          <a:avLst/>
        </a:prstGeom>
      </xdr:spPr>
    </xdr:pic>
    <xdr:clientData/>
  </xdr:twoCellAnchor>
  <xdr:twoCellAnchor>
    <xdr:from>
      <xdr:col>26</xdr:col>
      <xdr:colOff>130969</xdr:colOff>
      <xdr:row>28</xdr:row>
      <xdr:rowOff>11906</xdr:rowOff>
    </xdr:from>
    <xdr:to>
      <xdr:col>26</xdr:col>
      <xdr:colOff>321469</xdr:colOff>
      <xdr:row>28</xdr:row>
      <xdr:rowOff>11906</xdr:rowOff>
    </xdr:to>
    <xdr:cxnSp macro="">
      <xdr:nvCxnSpPr>
        <xdr:cNvPr id="33" name="Rett pilkobling 32">
          <a:extLst>
            <a:ext uri="{FF2B5EF4-FFF2-40B4-BE49-F238E27FC236}">
              <a16:creationId xmlns:a16="http://schemas.microsoft.com/office/drawing/2014/main" id="{473E80F3-2F4B-FF94-1457-7ADF887478CB}"/>
            </a:ext>
          </a:extLst>
        </xdr:cNvPr>
        <xdr:cNvCxnSpPr/>
      </xdr:nvCxnSpPr>
      <xdr:spPr bwMode="auto">
        <a:xfrm>
          <a:off x="11174016" y="3482578"/>
          <a:ext cx="190500" cy="0"/>
        </a:xfrm>
        <a:prstGeom prst="straightConnector1">
          <a:avLst/>
        </a:prstGeom>
        <a:solidFill>
          <a:srgbClr val="FFFFFF"/>
        </a:solidFill>
        <a:ln w="6350" cap="flat" cmpd="sng" algn="ctr">
          <a:solidFill>
            <a:srgbClr val="000000"/>
          </a:solidFill>
          <a:prstDash val="solid"/>
          <a:round/>
          <a:headEnd type="none" w="med" len="med"/>
          <a:tailEnd type="arrow" w="med" len="med"/>
        </a:ln>
        <a:effectLst/>
      </xdr:spPr>
    </xdr:cxnSp>
    <xdr:clientData/>
  </xdr:twoCellAnchor>
  <xdr:twoCellAnchor>
    <xdr:from>
      <xdr:col>15</xdr:col>
      <xdr:colOff>449190</xdr:colOff>
      <xdr:row>173</xdr:row>
      <xdr:rowOff>85605</xdr:rowOff>
    </xdr:from>
    <xdr:to>
      <xdr:col>26</xdr:col>
      <xdr:colOff>221889</xdr:colOff>
      <xdr:row>175</xdr:row>
      <xdr:rowOff>3303</xdr:rowOff>
    </xdr:to>
    <xdr:sp macro="" textlink="">
      <xdr:nvSpPr>
        <xdr:cNvPr id="36" name="TekstSylinder 1">
          <a:extLst>
            <a:ext uri="{FF2B5EF4-FFF2-40B4-BE49-F238E27FC236}">
              <a16:creationId xmlns:a16="http://schemas.microsoft.com/office/drawing/2014/main" id="{90F964B0-C84F-4B3E-A02D-8F3B2B458128}"/>
            </a:ext>
          </a:extLst>
        </xdr:cNvPr>
        <xdr:cNvSpPr txBox="1"/>
      </xdr:nvSpPr>
      <xdr:spPr>
        <a:xfrm>
          <a:off x="7630824" y="23676216"/>
          <a:ext cx="4107656" cy="199118"/>
        </a:xfrm>
        <a:prstGeom prst="rect">
          <a:avLst/>
        </a:prstGeom>
        <a:noFill/>
        <a:ln w="6350">
          <a:solidFill>
            <a:schemeClr val="tx1">
              <a:lumMod val="50000"/>
              <a:lumOff val="50000"/>
            </a:schemeClr>
          </a:solidFill>
        </a:ln>
      </xdr:spPr>
      <xdr:txBody>
        <a:bodyPr wrap="square" lIns="0" tIns="0" rIns="0" bIns="0"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nb-NO" sz="800" baseline="30000">
              <a:solidFill>
                <a:schemeClr val="bg1">
                  <a:lumMod val="75000"/>
                </a:schemeClr>
              </a:solidFill>
            </a:rPr>
            <a:t> </a:t>
          </a:r>
          <a:r>
            <a:rPr lang="nb-NO" sz="800" baseline="0">
              <a:solidFill>
                <a:schemeClr val="bg1">
                  <a:lumMod val="75000"/>
                </a:schemeClr>
              </a:solidFill>
              <a:latin typeface="Arial" panose="020B0604020202020204" pitchFamily="34" charset="0"/>
              <a:cs typeface="Arial" panose="020B0604020202020204" pitchFamily="34" charset="0"/>
            </a:rPr>
            <a:t>Jointed rock, in shotcreted area, Pi ≈ ((10/Dt)</a:t>
          </a:r>
          <a:r>
            <a:rPr lang="nb-NO" sz="800" baseline="30000">
              <a:solidFill>
                <a:schemeClr val="bg1">
                  <a:lumMod val="75000"/>
                </a:schemeClr>
              </a:solidFill>
              <a:latin typeface="Arial" panose="020B0604020202020204" pitchFamily="34" charset="0"/>
              <a:cs typeface="Arial" panose="020B0604020202020204" pitchFamily="34" charset="0"/>
            </a:rPr>
            <a:t>0.5</a:t>
          </a:r>
          <a:r>
            <a:rPr lang="nb-NO" sz="800" baseline="0">
              <a:solidFill>
                <a:schemeClr val="bg1">
                  <a:lumMod val="75000"/>
                </a:schemeClr>
              </a:solidFill>
              <a:latin typeface="Arial" panose="020B0604020202020204" pitchFamily="34" charset="0"/>
              <a:cs typeface="Arial" panose="020B0604020202020204" pitchFamily="34" charset="0"/>
            </a:rPr>
            <a:t>)*(jC+1)*((UCS/100)</a:t>
          </a:r>
          <a:r>
            <a:rPr lang="nb-NO" sz="800" baseline="30000">
              <a:solidFill>
                <a:schemeClr val="bg1">
                  <a:lumMod val="75000"/>
                </a:schemeClr>
              </a:solidFill>
              <a:latin typeface="Arial" panose="020B0604020202020204" pitchFamily="34" charset="0"/>
              <a:cs typeface="Arial" panose="020B0604020202020204" pitchFamily="34" charset="0"/>
            </a:rPr>
            <a:t>0.4</a:t>
          </a:r>
          <a:r>
            <a:rPr lang="nb-NO" sz="800" baseline="0">
              <a:solidFill>
                <a:schemeClr val="bg1">
                  <a:lumMod val="75000"/>
                </a:schemeClr>
              </a:solidFill>
              <a:latin typeface="Arial" panose="020B0604020202020204" pitchFamily="34" charset="0"/>
              <a:cs typeface="Arial" panose="020B0604020202020204" pitchFamily="34" charset="0"/>
            </a:rPr>
            <a:t>) * Gc</a:t>
          </a:r>
          <a:r>
            <a:rPr lang="nb-NO" sz="800" baseline="30000">
              <a:solidFill>
                <a:schemeClr val="bg1">
                  <a:lumMod val="75000"/>
                </a:schemeClr>
              </a:solidFill>
              <a:latin typeface="Arial" panose="020B0604020202020204" pitchFamily="34" charset="0"/>
              <a:cs typeface="Arial" panose="020B0604020202020204" pitchFamily="34" charset="0"/>
            </a:rPr>
            <a:t>(-0.65*jC^0.25)</a:t>
          </a:r>
        </a:p>
      </xdr:txBody>
    </xdr:sp>
    <xdr:clientData/>
  </xdr:twoCellAnchor>
  <xdr:oneCellAnchor>
    <xdr:from>
      <xdr:col>15</xdr:col>
      <xdr:colOff>484377</xdr:colOff>
      <xdr:row>172</xdr:row>
      <xdr:rowOff>85837</xdr:rowOff>
    </xdr:from>
    <xdr:ext cx="2892667" cy="133350"/>
    <xdr:sp macro="" textlink="">
      <xdr:nvSpPr>
        <xdr:cNvPr id="37" name="TekstSylinder 36">
          <a:extLst>
            <a:ext uri="{FF2B5EF4-FFF2-40B4-BE49-F238E27FC236}">
              <a16:creationId xmlns:a16="http://schemas.microsoft.com/office/drawing/2014/main" id="{16B29EA5-39A1-4F71-8C81-03CFDDEA1A16}"/>
            </a:ext>
          </a:extLst>
        </xdr:cNvPr>
        <xdr:cNvSpPr txBox="1"/>
      </xdr:nvSpPr>
      <xdr:spPr>
        <a:xfrm>
          <a:off x="7666011" y="23535738"/>
          <a:ext cx="2892667" cy="133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0" rIns="0" bIns="0" rtlCol="0" anchor="t">
          <a:noAutofit/>
        </a:bodyPr>
        <a:lstStyle/>
        <a:p>
          <a:pPr algn="l"/>
          <a:r>
            <a:rPr lang="nb-NO" sz="800">
              <a:solidFill>
                <a:schemeClr val="bg1">
                  <a:lumMod val="75000"/>
                </a:schemeClr>
              </a:solidFill>
              <a:latin typeface="Arial" panose="020B0604020202020204" pitchFamily="34" charset="0"/>
              <a:cs typeface="Arial" panose="020B0604020202020204" pitchFamily="34" charset="0"/>
            </a:rPr>
            <a:t>INFO: Expressions developed for roof support capacity (MPa):</a:t>
          </a:r>
        </a:p>
        <a:p>
          <a:endParaRPr lang="nb-NO" sz="800">
            <a:solidFill>
              <a:schemeClr val="bg1">
                <a:lumMod val="75000"/>
              </a:schemeClr>
            </a:solidFill>
            <a:latin typeface="Arial" panose="020B0604020202020204" pitchFamily="34" charset="0"/>
            <a:cs typeface="Arial" panose="020B0604020202020204" pitchFamily="34" charset="0"/>
          </a:endParaRPr>
        </a:p>
      </xdr:txBody>
    </xdr:sp>
    <xdr:clientData/>
  </xdr:oneCellAnchor>
  <xdr:twoCellAnchor>
    <xdr:from>
      <xdr:col>15</xdr:col>
      <xdr:colOff>449191</xdr:colOff>
      <xdr:row>175</xdr:row>
      <xdr:rowOff>23077</xdr:rowOff>
    </xdr:from>
    <xdr:to>
      <xdr:col>26</xdr:col>
      <xdr:colOff>221890</xdr:colOff>
      <xdr:row>176</xdr:row>
      <xdr:rowOff>25148</xdr:rowOff>
    </xdr:to>
    <xdr:sp macro="" textlink="">
      <xdr:nvSpPr>
        <xdr:cNvPr id="38" name="TekstSylinder 1">
          <a:extLst>
            <a:ext uri="{FF2B5EF4-FFF2-40B4-BE49-F238E27FC236}">
              <a16:creationId xmlns:a16="http://schemas.microsoft.com/office/drawing/2014/main" id="{B6B68489-CF28-4D88-B75A-4E892BDC3F21}"/>
            </a:ext>
          </a:extLst>
        </xdr:cNvPr>
        <xdr:cNvSpPr txBox="1"/>
      </xdr:nvSpPr>
      <xdr:spPr>
        <a:xfrm>
          <a:off x="7630825" y="23895108"/>
          <a:ext cx="4107656" cy="142781"/>
        </a:xfrm>
        <a:prstGeom prst="rect">
          <a:avLst/>
        </a:prstGeom>
        <a:ln w="6350">
          <a:solidFill>
            <a:schemeClr val="tx1">
              <a:lumMod val="50000"/>
              <a:lumOff val="50000"/>
            </a:schemeClr>
          </a:solidFill>
        </a:ln>
      </xdr:spPr>
      <xdr:txBody>
        <a:bodyPr wrap="square" lIns="0" tIns="0" rIns="0" bIns="0"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nb-NO" sz="800" baseline="30000">
              <a:solidFill>
                <a:schemeClr val="bg1">
                  <a:lumMod val="75000"/>
                </a:schemeClr>
              </a:solidFill>
            </a:rPr>
            <a:t> </a:t>
          </a:r>
          <a:r>
            <a:rPr lang="nb-NO" sz="800" baseline="0">
              <a:solidFill>
                <a:schemeClr val="bg1">
                  <a:lumMod val="75000"/>
                </a:schemeClr>
              </a:solidFill>
              <a:latin typeface="Arial" panose="020B0604020202020204" pitchFamily="34" charset="0"/>
              <a:cs typeface="Arial" panose="020B0604020202020204" pitchFamily="34" charset="0"/>
            </a:rPr>
            <a:t>Jointed rock, outside shotcreted area, Pi ≈ ((10/Dt)</a:t>
          </a:r>
          <a:r>
            <a:rPr lang="nb-NO" sz="800" baseline="30000">
              <a:solidFill>
                <a:schemeClr val="bg1">
                  <a:lumMod val="75000"/>
                </a:schemeClr>
              </a:solidFill>
              <a:latin typeface="Arial" panose="020B0604020202020204" pitchFamily="34" charset="0"/>
              <a:cs typeface="Arial" panose="020B0604020202020204" pitchFamily="34" charset="0"/>
            </a:rPr>
            <a:t>0.5</a:t>
          </a:r>
          <a:r>
            <a:rPr lang="nb-NO" sz="800" baseline="0">
              <a:solidFill>
                <a:schemeClr val="bg1">
                  <a:lumMod val="75000"/>
                </a:schemeClr>
              </a:solidFill>
              <a:latin typeface="Arial" panose="020B0604020202020204" pitchFamily="34" charset="0"/>
              <a:cs typeface="Arial" panose="020B0604020202020204" pitchFamily="34" charset="0"/>
            </a:rPr>
            <a:t>)*0.4*jC*((UCS/100)</a:t>
          </a:r>
          <a:r>
            <a:rPr lang="nb-NO" sz="800" baseline="30000">
              <a:solidFill>
                <a:schemeClr val="bg1">
                  <a:lumMod val="75000"/>
                </a:schemeClr>
              </a:solidFill>
              <a:latin typeface="Arial" panose="020B0604020202020204" pitchFamily="34" charset="0"/>
              <a:cs typeface="Arial" panose="020B0604020202020204" pitchFamily="34" charset="0"/>
            </a:rPr>
            <a:t>0.4</a:t>
          </a:r>
          <a:r>
            <a:rPr lang="nb-NO" sz="800" baseline="0">
              <a:solidFill>
                <a:schemeClr val="bg1">
                  <a:lumMod val="75000"/>
                </a:schemeClr>
              </a:solidFill>
              <a:latin typeface="Arial" panose="020B0604020202020204" pitchFamily="34" charset="0"/>
              <a:cs typeface="Arial" panose="020B0604020202020204" pitchFamily="34" charset="0"/>
            </a:rPr>
            <a:t>) * Gc</a:t>
          </a:r>
          <a:r>
            <a:rPr lang="nb-NO" sz="800" baseline="30000">
              <a:solidFill>
                <a:schemeClr val="bg1">
                  <a:lumMod val="75000"/>
                </a:schemeClr>
              </a:solidFill>
              <a:latin typeface="Arial" panose="020B0604020202020204" pitchFamily="34" charset="0"/>
              <a:cs typeface="Arial" panose="020B0604020202020204" pitchFamily="34" charset="0"/>
            </a:rPr>
            <a:t>(-0.65*jC^0.25)</a:t>
          </a:r>
        </a:p>
      </xdr:txBody>
    </xdr:sp>
    <xdr:clientData/>
  </xdr:twoCellAnchor>
  <xdr:twoCellAnchor>
    <xdr:from>
      <xdr:col>15</xdr:col>
      <xdr:colOff>554190</xdr:colOff>
      <xdr:row>181</xdr:row>
      <xdr:rowOff>11085</xdr:rowOff>
    </xdr:from>
    <xdr:to>
      <xdr:col>27</xdr:col>
      <xdr:colOff>189940</xdr:colOff>
      <xdr:row>182</xdr:row>
      <xdr:rowOff>20824</xdr:rowOff>
    </xdr:to>
    <xdr:sp macro="" textlink="">
      <xdr:nvSpPr>
        <xdr:cNvPr id="39" name="TekstSylinder 38">
          <a:extLst>
            <a:ext uri="{FF2B5EF4-FFF2-40B4-BE49-F238E27FC236}">
              <a16:creationId xmlns:a16="http://schemas.microsoft.com/office/drawing/2014/main" id="{E7A1DDBA-81D3-48C4-8367-F8071CD84152}"/>
            </a:ext>
          </a:extLst>
        </xdr:cNvPr>
        <xdr:cNvSpPr txBox="1"/>
      </xdr:nvSpPr>
      <xdr:spPr>
        <a:xfrm>
          <a:off x="7742869" y="25153491"/>
          <a:ext cx="4627389" cy="15351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xdr:txBody>
    </xdr:sp>
    <xdr:clientData/>
  </xdr:twoCellAnchor>
  <xdr:twoCellAnchor>
    <xdr:from>
      <xdr:col>15</xdr:col>
      <xdr:colOff>418887</xdr:colOff>
      <xdr:row>176</xdr:row>
      <xdr:rowOff>111579</xdr:rowOff>
    </xdr:from>
    <xdr:to>
      <xdr:col>24</xdr:col>
      <xdr:colOff>392206</xdr:colOff>
      <xdr:row>178</xdr:row>
      <xdr:rowOff>124153</xdr:rowOff>
    </xdr:to>
    <xdr:sp macro="" textlink="">
      <xdr:nvSpPr>
        <xdr:cNvPr id="40" name="TekstSylinder 39">
          <a:extLst>
            <a:ext uri="{FF2B5EF4-FFF2-40B4-BE49-F238E27FC236}">
              <a16:creationId xmlns:a16="http://schemas.microsoft.com/office/drawing/2014/main" id="{5AA5E5A1-E3D8-5B7C-7DFF-ABBF8E35689E}"/>
            </a:ext>
          </a:extLst>
        </xdr:cNvPr>
        <xdr:cNvSpPr txBox="1"/>
      </xdr:nvSpPr>
      <xdr:spPr>
        <a:xfrm>
          <a:off x="7611663" y="24204226"/>
          <a:ext cx="3265047" cy="29272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800"/>
        </a:p>
      </xdr:txBody>
    </xdr:sp>
    <xdr:clientData/>
  </xdr:twoCellAnchor>
  <xdr:twoCellAnchor>
    <xdr:from>
      <xdr:col>28</xdr:col>
      <xdr:colOff>690563</xdr:colOff>
      <xdr:row>37</xdr:row>
      <xdr:rowOff>62802</xdr:rowOff>
    </xdr:from>
    <xdr:to>
      <xdr:col>28</xdr:col>
      <xdr:colOff>778048</xdr:colOff>
      <xdr:row>40</xdr:row>
      <xdr:rowOff>55824</xdr:rowOff>
    </xdr:to>
    <xdr:sp macro="" textlink="">
      <xdr:nvSpPr>
        <xdr:cNvPr id="19" name="Rektangel 18">
          <a:extLst>
            <a:ext uri="{FF2B5EF4-FFF2-40B4-BE49-F238E27FC236}">
              <a16:creationId xmlns:a16="http://schemas.microsoft.com/office/drawing/2014/main" id="{33B39DF0-6753-E696-9996-371247309901}"/>
            </a:ext>
          </a:extLst>
        </xdr:cNvPr>
        <xdr:cNvSpPr/>
      </xdr:nvSpPr>
      <xdr:spPr bwMode="auto">
        <a:xfrm>
          <a:off x="13330238" y="4482402"/>
          <a:ext cx="87485" cy="393072"/>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18</xdr:col>
      <xdr:colOff>373793</xdr:colOff>
      <xdr:row>59</xdr:row>
      <xdr:rowOff>2730</xdr:rowOff>
    </xdr:from>
    <xdr:to>
      <xdr:col>19</xdr:col>
      <xdr:colOff>464030</xdr:colOff>
      <xdr:row>59</xdr:row>
      <xdr:rowOff>103305</xdr:rowOff>
    </xdr:to>
    <xdr:sp macro="" textlink="">
      <xdr:nvSpPr>
        <xdr:cNvPr id="22" name="TekstSylinder 21">
          <a:extLst>
            <a:ext uri="{FF2B5EF4-FFF2-40B4-BE49-F238E27FC236}">
              <a16:creationId xmlns:a16="http://schemas.microsoft.com/office/drawing/2014/main" id="{7F60CE88-930C-4D97-62FB-A6DD48A62F09}"/>
            </a:ext>
          </a:extLst>
        </xdr:cNvPr>
        <xdr:cNvSpPr txBox="1"/>
      </xdr:nvSpPr>
      <xdr:spPr>
        <a:xfrm>
          <a:off x="9187930" y="7341757"/>
          <a:ext cx="500458" cy="100575"/>
        </a:xfrm>
        <a:prstGeom prst="rect">
          <a:avLst/>
        </a:prstGeom>
        <a:solidFill>
          <a:schemeClr val="bg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nb-NO" sz="500"/>
            <a:t>A. Palmström-2025</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411480</xdr:colOff>
      <xdr:row>0</xdr:row>
      <xdr:rowOff>53340</xdr:rowOff>
    </xdr:from>
    <xdr:to>
      <xdr:col>13</xdr:col>
      <xdr:colOff>140077</xdr:colOff>
      <xdr:row>2</xdr:row>
      <xdr:rowOff>30480</xdr:rowOff>
    </xdr:to>
    <xdr:pic>
      <xdr:nvPicPr>
        <xdr:cNvPr id="17860" name="Picture 1174">
          <a:extLst>
            <a:ext uri="{FF2B5EF4-FFF2-40B4-BE49-F238E27FC236}">
              <a16:creationId xmlns:a16="http://schemas.microsoft.com/office/drawing/2014/main" id="{00000000-0008-0000-0300-0000C44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5560" y="53340"/>
          <a:ext cx="54864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198782</xdr:colOff>
      <xdr:row>47</xdr:row>
      <xdr:rowOff>49696</xdr:rowOff>
    </xdr:from>
    <xdr:to>
      <xdr:col>32</xdr:col>
      <xdr:colOff>57283</xdr:colOff>
      <xdr:row>68</xdr:row>
      <xdr:rowOff>67453</xdr:rowOff>
    </xdr:to>
    <xdr:pic>
      <xdr:nvPicPr>
        <xdr:cNvPr id="2" name="Bilde 1">
          <a:extLst>
            <a:ext uri="{FF2B5EF4-FFF2-40B4-BE49-F238E27FC236}">
              <a16:creationId xmlns:a16="http://schemas.microsoft.com/office/drawing/2014/main" id="{D19DB1D4-3F45-4AE6-A04C-101723F74377}"/>
            </a:ext>
          </a:extLst>
        </xdr:cNvPr>
        <xdr:cNvPicPr>
          <a:picLocks noChangeAspect="1"/>
        </xdr:cNvPicPr>
      </xdr:nvPicPr>
      <xdr:blipFill>
        <a:blip xmlns:r="http://schemas.openxmlformats.org/officeDocument/2006/relationships" r:embed="rId2"/>
        <a:stretch>
          <a:fillRect/>
        </a:stretch>
      </xdr:blipFill>
      <xdr:spPr>
        <a:xfrm>
          <a:off x="8680173" y="6808305"/>
          <a:ext cx="4277623" cy="3442965"/>
        </a:xfrm>
        <a:prstGeom prst="rect">
          <a:avLst/>
        </a:prstGeom>
      </xdr:spPr>
    </xdr:pic>
    <xdr:clientData/>
  </xdr:twoCellAnchor>
  <xdr:twoCellAnchor>
    <xdr:from>
      <xdr:col>14</xdr:col>
      <xdr:colOff>15120</xdr:colOff>
      <xdr:row>6</xdr:row>
      <xdr:rowOff>15119</xdr:rowOff>
    </xdr:from>
    <xdr:to>
      <xdr:col>20</xdr:col>
      <xdr:colOff>48160</xdr:colOff>
      <xdr:row>8</xdr:row>
      <xdr:rowOff>14424</xdr:rowOff>
    </xdr:to>
    <xdr:sp macro="" textlink="">
      <xdr:nvSpPr>
        <xdr:cNvPr id="3" name="Rektangel 2">
          <a:extLst>
            <a:ext uri="{FF2B5EF4-FFF2-40B4-BE49-F238E27FC236}">
              <a16:creationId xmlns:a16="http://schemas.microsoft.com/office/drawing/2014/main" id="{7A035311-8760-6A44-00FF-BA999AAD9E40}"/>
            </a:ext>
          </a:extLst>
        </xdr:cNvPr>
        <xdr:cNvSpPr/>
      </xdr:nvSpPr>
      <xdr:spPr bwMode="auto">
        <a:xfrm>
          <a:off x="6675060" y="1065893"/>
          <a:ext cx="2482326" cy="301686"/>
        </a:xfrm>
        <a:prstGeom prst="rect">
          <a:avLst/>
        </a:prstGeom>
        <a:noFill/>
        <a:ln w="12700" cap="flat" cmpd="sng" algn="ctr">
          <a:solidFill>
            <a:srgbClr val="0000CC"/>
          </a:solidFill>
          <a:prstDash val="solid"/>
          <a:round/>
          <a:headEnd type="none" w="med" len="med"/>
          <a:tailEnd type="none" w="med" len="med"/>
        </a:ln>
        <a:effectLst/>
      </xdr:spPr>
      <xdr:txBody>
        <a:bodyPr vertOverflow="clip" wrap="square" lIns="18288" tIns="0" rIns="0" bIns="0" rtlCol="0" anchor="ctr" upright="1"/>
        <a:lstStyle/>
        <a:p>
          <a:pPr algn="l"/>
          <a:endParaRPr lang="nb-NO" sz="1100"/>
        </a:p>
      </xdr:txBody>
    </xdr:sp>
    <xdr:clientData/>
  </xdr:twoCellAnchor>
  <xdr:twoCellAnchor>
    <xdr:from>
      <xdr:col>13</xdr:col>
      <xdr:colOff>217403</xdr:colOff>
      <xdr:row>0</xdr:row>
      <xdr:rowOff>187167</xdr:rowOff>
    </xdr:from>
    <xdr:to>
      <xdr:col>14</xdr:col>
      <xdr:colOff>2094</xdr:colOff>
      <xdr:row>3</xdr:row>
      <xdr:rowOff>65213</xdr:rowOff>
    </xdr:to>
    <xdr:cxnSp macro="">
      <xdr:nvCxnSpPr>
        <xdr:cNvPr id="5" name="Rett pilkobling 4">
          <a:extLst>
            <a:ext uri="{FF2B5EF4-FFF2-40B4-BE49-F238E27FC236}">
              <a16:creationId xmlns:a16="http://schemas.microsoft.com/office/drawing/2014/main" id="{398F9943-4ECE-5378-B2B0-EFF4FF3182C2}"/>
            </a:ext>
          </a:extLst>
        </xdr:cNvPr>
        <xdr:cNvCxnSpPr/>
      </xdr:nvCxnSpPr>
      <xdr:spPr bwMode="auto">
        <a:xfrm>
          <a:off x="6650558" y="187167"/>
          <a:ext cx="11476" cy="429891"/>
        </a:xfrm>
        <a:prstGeom prst="straightConnector1">
          <a:avLst/>
        </a:prstGeom>
        <a:solidFill>
          <a:srgbClr val="FFFFFF"/>
        </a:solidFill>
        <a:ln w="6350" cap="flat" cmpd="sng" algn="ctr">
          <a:solidFill>
            <a:srgbClr val="000000"/>
          </a:solidFill>
          <a:prstDash val="solid"/>
          <a:round/>
          <a:headEnd type="none" w="med" len="med"/>
          <a:tailEnd type="arrow" w="med" len="med"/>
        </a:ln>
        <a:effectLst/>
      </xdr:spPr>
    </xdr:cxnSp>
    <xdr:clientData/>
  </xdr:twoCellAnchor>
  <xdr:twoCellAnchor>
    <xdr:from>
      <xdr:col>32</xdr:col>
      <xdr:colOff>2577</xdr:colOff>
      <xdr:row>0</xdr:row>
      <xdr:rowOff>190471</xdr:rowOff>
    </xdr:from>
    <xdr:to>
      <xdr:col>32</xdr:col>
      <xdr:colOff>14053</xdr:colOff>
      <xdr:row>3</xdr:row>
      <xdr:rowOff>64237</xdr:rowOff>
    </xdr:to>
    <xdr:cxnSp macro="">
      <xdr:nvCxnSpPr>
        <xdr:cNvPr id="6" name="Rett pilkobling 5">
          <a:extLst>
            <a:ext uri="{FF2B5EF4-FFF2-40B4-BE49-F238E27FC236}">
              <a16:creationId xmlns:a16="http://schemas.microsoft.com/office/drawing/2014/main" id="{203DDF57-89A4-462F-8A27-FFC2FEEDF5E1}"/>
            </a:ext>
          </a:extLst>
        </xdr:cNvPr>
        <xdr:cNvCxnSpPr/>
      </xdr:nvCxnSpPr>
      <xdr:spPr bwMode="auto">
        <a:xfrm>
          <a:off x="12536267" y="190471"/>
          <a:ext cx="11476" cy="425611"/>
        </a:xfrm>
        <a:prstGeom prst="straightConnector1">
          <a:avLst/>
        </a:prstGeom>
        <a:solidFill>
          <a:srgbClr val="FFFFFF"/>
        </a:solidFill>
        <a:ln w="6350" cap="flat" cmpd="sng" algn="ctr">
          <a:solidFill>
            <a:srgbClr val="000000"/>
          </a:solidFill>
          <a:prstDash val="solid"/>
          <a:round/>
          <a:headEnd type="none" w="med" len="med"/>
          <a:tailEnd type="arrow" w="med" len="med"/>
        </a:ln>
        <a:effectLst/>
      </xdr:spPr>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73786</xdr:colOff>
      <xdr:row>3</xdr:row>
      <xdr:rowOff>2284</xdr:rowOff>
    </xdr:from>
    <xdr:to>
      <xdr:col>10</xdr:col>
      <xdr:colOff>33197</xdr:colOff>
      <xdr:row>47</xdr:row>
      <xdr:rowOff>142860</xdr:rowOff>
    </xdr:to>
    <xdr:pic>
      <xdr:nvPicPr>
        <xdr:cNvPr id="7" name="Bilde 6">
          <a:extLst>
            <a:ext uri="{FF2B5EF4-FFF2-40B4-BE49-F238E27FC236}">
              <a16:creationId xmlns:a16="http://schemas.microsoft.com/office/drawing/2014/main" id="{6BE6E4B9-ADD7-413E-BB26-858E7EB166BB}"/>
            </a:ext>
          </a:extLst>
        </xdr:cNvPr>
        <xdr:cNvPicPr>
          <a:picLocks noChangeAspect="1"/>
        </xdr:cNvPicPr>
      </xdr:nvPicPr>
      <xdr:blipFill>
        <a:blip xmlns:r="http://schemas.openxmlformats.org/officeDocument/2006/relationships" r:embed="rId1"/>
        <a:stretch>
          <a:fillRect/>
        </a:stretch>
      </xdr:blipFill>
      <xdr:spPr>
        <a:xfrm>
          <a:off x="73786" y="713305"/>
          <a:ext cx="7217193" cy="72239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10767</xdr:colOff>
      <xdr:row>16</xdr:row>
      <xdr:rowOff>3441</xdr:rowOff>
    </xdr:from>
    <xdr:to>
      <xdr:col>15</xdr:col>
      <xdr:colOff>641684</xdr:colOff>
      <xdr:row>40</xdr:row>
      <xdr:rowOff>97155</xdr:rowOff>
    </xdr:to>
    <xdr:pic>
      <xdr:nvPicPr>
        <xdr:cNvPr id="6" name="Bilde 5">
          <a:extLst>
            <a:ext uri="{FF2B5EF4-FFF2-40B4-BE49-F238E27FC236}">
              <a16:creationId xmlns:a16="http://schemas.microsoft.com/office/drawing/2014/main" id="{AC77D8C7-C940-40E1-B92A-66AFE4F96936}"/>
            </a:ext>
          </a:extLst>
        </xdr:cNvPr>
        <xdr:cNvPicPr>
          <a:picLocks noChangeAspect="1"/>
        </xdr:cNvPicPr>
      </xdr:nvPicPr>
      <xdr:blipFill>
        <a:blip xmlns:r="http://schemas.openxmlformats.org/officeDocument/2006/relationships" r:embed="rId1"/>
        <a:stretch>
          <a:fillRect/>
        </a:stretch>
      </xdr:blipFill>
      <xdr:spPr>
        <a:xfrm>
          <a:off x="6267188" y="2750652"/>
          <a:ext cx="3317970" cy="4124292"/>
        </a:xfrm>
        <a:prstGeom prst="rect">
          <a:avLst/>
        </a:prstGeom>
      </xdr:spPr>
    </xdr:pic>
    <xdr:clientData/>
  </xdr:twoCellAnchor>
  <xdr:twoCellAnchor editAs="oneCell">
    <xdr:from>
      <xdr:col>10</xdr:col>
      <xdr:colOff>140588</xdr:colOff>
      <xdr:row>2</xdr:row>
      <xdr:rowOff>65023</xdr:rowOff>
    </xdr:from>
    <xdr:to>
      <xdr:col>17</xdr:col>
      <xdr:colOff>541421</xdr:colOff>
      <xdr:row>14</xdr:row>
      <xdr:rowOff>85783</xdr:rowOff>
    </xdr:to>
    <xdr:pic>
      <xdr:nvPicPr>
        <xdr:cNvPr id="5" name="Bilde 4">
          <a:extLst>
            <a:ext uri="{FF2B5EF4-FFF2-40B4-BE49-F238E27FC236}">
              <a16:creationId xmlns:a16="http://schemas.microsoft.com/office/drawing/2014/main" id="{FD75C9C1-DD81-4CC0-B916-A3C7314D7FB1}"/>
            </a:ext>
          </a:extLst>
        </xdr:cNvPr>
        <xdr:cNvPicPr>
          <a:picLocks noChangeAspect="1"/>
        </xdr:cNvPicPr>
      </xdr:nvPicPr>
      <xdr:blipFill>
        <a:blip xmlns:r="http://schemas.openxmlformats.org/officeDocument/2006/relationships" r:embed="rId2"/>
        <a:stretch>
          <a:fillRect/>
        </a:stretch>
      </xdr:blipFill>
      <xdr:spPr>
        <a:xfrm>
          <a:off x="5795430" y="456049"/>
          <a:ext cx="5213465" cy="2015997"/>
        </a:xfrm>
        <a:prstGeom prst="rect">
          <a:avLst/>
        </a:prstGeom>
      </xdr:spPr>
    </xdr:pic>
    <xdr:clientData/>
  </xdr:twoCellAnchor>
  <xdr:twoCellAnchor editAs="oneCell">
    <xdr:from>
      <xdr:col>0</xdr:col>
      <xdr:colOff>99055</xdr:colOff>
      <xdr:row>2</xdr:row>
      <xdr:rowOff>21625</xdr:rowOff>
    </xdr:from>
    <xdr:to>
      <xdr:col>9</xdr:col>
      <xdr:colOff>461211</xdr:colOff>
      <xdr:row>40</xdr:row>
      <xdr:rowOff>44470</xdr:rowOff>
    </xdr:to>
    <xdr:pic>
      <xdr:nvPicPr>
        <xdr:cNvPr id="2" name="Bilde 1">
          <a:extLst>
            <a:ext uri="{FF2B5EF4-FFF2-40B4-BE49-F238E27FC236}">
              <a16:creationId xmlns:a16="http://schemas.microsoft.com/office/drawing/2014/main" id="{C8F3E1A0-653C-C351-9E57-702794693CE6}"/>
            </a:ext>
          </a:extLst>
        </xdr:cNvPr>
        <xdr:cNvPicPr>
          <a:picLocks noChangeAspect="1"/>
        </xdr:cNvPicPr>
      </xdr:nvPicPr>
      <xdr:blipFill>
        <a:blip xmlns:r="http://schemas.openxmlformats.org/officeDocument/2006/relationships" r:embed="rId3"/>
        <a:stretch>
          <a:fillRect/>
        </a:stretch>
      </xdr:blipFill>
      <xdr:spPr>
        <a:xfrm>
          <a:off x="99055" y="412651"/>
          <a:ext cx="7139945" cy="64096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70485</xdr:colOff>
      <xdr:row>2</xdr:row>
      <xdr:rowOff>57150</xdr:rowOff>
    </xdr:from>
    <xdr:to>
      <xdr:col>15</xdr:col>
      <xdr:colOff>617729</xdr:colOff>
      <xdr:row>40</xdr:row>
      <xdr:rowOff>118110</xdr:rowOff>
    </xdr:to>
    <xdr:pic>
      <xdr:nvPicPr>
        <xdr:cNvPr id="2" name="Bilde 1">
          <a:extLst>
            <a:ext uri="{FF2B5EF4-FFF2-40B4-BE49-F238E27FC236}">
              <a16:creationId xmlns:a16="http://schemas.microsoft.com/office/drawing/2014/main" id="{F6808720-1339-41BB-9D18-5A6404473131}"/>
            </a:ext>
          </a:extLst>
        </xdr:cNvPr>
        <xdr:cNvPicPr>
          <a:picLocks noChangeAspect="1"/>
        </xdr:cNvPicPr>
      </xdr:nvPicPr>
      <xdr:blipFill>
        <a:blip xmlns:r="http://schemas.openxmlformats.org/officeDocument/2006/relationships" r:embed="rId1"/>
        <a:stretch>
          <a:fillRect/>
        </a:stretch>
      </xdr:blipFill>
      <xdr:spPr>
        <a:xfrm>
          <a:off x="7804785" y="476250"/>
          <a:ext cx="3414269" cy="6214110"/>
        </a:xfrm>
        <a:prstGeom prst="rect">
          <a:avLst/>
        </a:prstGeom>
      </xdr:spPr>
    </xdr:pic>
    <xdr:clientData/>
  </xdr:twoCellAnchor>
  <xdr:twoCellAnchor editAs="oneCell">
    <xdr:from>
      <xdr:col>1</xdr:col>
      <xdr:colOff>47625</xdr:colOff>
      <xdr:row>1</xdr:row>
      <xdr:rowOff>73939</xdr:rowOff>
    </xdr:from>
    <xdr:to>
      <xdr:col>10</xdr:col>
      <xdr:colOff>504825</xdr:colOff>
      <xdr:row>41</xdr:row>
      <xdr:rowOff>28575</xdr:rowOff>
    </xdr:to>
    <xdr:pic>
      <xdr:nvPicPr>
        <xdr:cNvPr id="3" name="Bilde 2">
          <a:extLst>
            <a:ext uri="{FF2B5EF4-FFF2-40B4-BE49-F238E27FC236}">
              <a16:creationId xmlns:a16="http://schemas.microsoft.com/office/drawing/2014/main" id="{D4279FA8-7D66-49D9-9802-869C9D6969F6}"/>
            </a:ext>
          </a:extLst>
        </xdr:cNvPr>
        <xdr:cNvPicPr>
          <a:picLocks noChangeAspect="1"/>
        </xdr:cNvPicPr>
      </xdr:nvPicPr>
      <xdr:blipFill>
        <a:blip xmlns:r="http://schemas.openxmlformats.org/officeDocument/2006/relationships" r:embed="rId2"/>
        <a:stretch>
          <a:fillRect/>
        </a:stretch>
      </xdr:blipFill>
      <xdr:spPr>
        <a:xfrm>
          <a:off x="133350" y="397789"/>
          <a:ext cx="7315200" cy="6364961"/>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E6184-4226-4F72-917E-019B6A3176A7}">
  <dimension ref="A1:O63"/>
  <sheetViews>
    <sheetView showGridLines="0" topLeftCell="H2" zoomScale="141" zoomScaleNormal="141" workbookViewId="0">
      <selection activeCell="N40" sqref="N40"/>
    </sheetView>
  </sheetViews>
  <sheetFormatPr baseColWidth="10" defaultRowHeight="12.75"/>
  <sheetData>
    <row r="1" spans="1:10" ht="23.25" customHeight="1">
      <c r="A1" s="116" t="s">
        <v>970</v>
      </c>
      <c r="J1" s="117"/>
    </row>
    <row r="2" spans="1:10" ht="15">
      <c r="A2" s="101"/>
    </row>
    <row r="3" spans="1:10">
      <c r="A3" s="1695" t="s">
        <v>1166</v>
      </c>
    </row>
    <row r="5" spans="1:10">
      <c r="A5" s="3"/>
    </row>
    <row r="6" spans="1:10" ht="15">
      <c r="A6" s="101"/>
    </row>
    <row r="7" spans="1:10" ht="15">
      <c r="A7" s="101"/>
    </row>
    <row r="8" spans="1:10" ht="9" customHeight="1">
      <c r="A8" s="101"/>
    </row>
    <row r="9" spans="1:10" ht="23.25" customHeight="1">
      <c r="A9" s="118" t="s">
        <v>962</v>
      </c>
    </row>
    <row r="10" spans="1:10" ht="15">
      <c r="A10" s="101"/>
    </row>
    <row r="11" spans="1:10" ht="15">
      <c r="A11" s="101"/>
    </row>
    <row r="12" spans="1:10" ht="15">
      <c r="A12" s="101"/>
    </row>
    <row r="13" spans="1:10" ht="15">
      <c r="A13" s="101"/>
    </row>
    <row r="14" spans="1:10" ht="15">
      <c r="A14" s="101"/>
    </row>
    <row r="15" spans="1:10" ht="15">
      <c r="A15" s="101"/>
    </row>
    <row r="16" spans="1:10" ht="15">
      <c r="A16" s="101"/>
    </row>
    <row r="17" spans="1:1" ht="15">
      <c r="A17" s="101"/>
    </row>
    <row r="18" spans="1:1" ht="15">
      <c r="A18" s="101"/>
    </row>
    <row r="19" spans="1:1" ht="15">
      <c r="A19" s="101"/>
    </row>
    <row r="20" spans="1:1" ht="15">
      <c r="A20" s="101"/>
    </row>
    <row r="21" spans="1:1" ht="15">
      <c r="A21" s="101"/>
    </row>
    <row r="22" spans="1:1" ht="15">
      <c r="A22" s="101"/>
    </row>
    <row r="23" spans="1:1" ht="15">
      <c r="A23" s="101"/>
    </row>
    <row r="24" spans="1:1" ht="15">
      <c r="A24" s="101"/>
    </row>
    <row r="25" spans="1:1" ht="15">
      <c r="A25" s="101"/>
    </row>
    <row r="26" spans="1:1" ht="15">
      <c r="A26" s="101"/>
    </row>
    <row r="27" spans="1:1" ht="15">
      <c r="A27" s="101"/>
    </row>
    <row r="28" spans="1:1" ht="15">
      <c r="A28" s="101"/>
    </row>
    <row r="29" spans="1:1" ht="15">
      <c r="A29" s="101"/>
    </row>
    <row r="30" spans="1:1" ht="15">
      <c r="A30" s="101"/>
    </row>
    <row r="31" spans="1:1" ht="15">
      <c r="A31" s="101"/>
    </row>
    <row r="32" spans="1:1" ht="15">
      <c r="A32" s="101"/>
    </row>
    <row r="33" spans="1:15" ht="15">
      <c r="A33" s="101"/>
    </row>
    <row r="34" spans="1:15">
      <c r="A34" s="114" t="s">
        <v>1008</v>
      </c>
    </row>
    <row r="36" spans="1:15" ht="15">
      <c r="A36" s="101"/>
    </row>
    <row r="37" spans="1:15" ht="15">
      <c r="A37" s="101"/>
    </row>
    <row r="38" spans="1:15" ht="18.75" customHeight="1"/>
    <row r="39" spans="1:15" ht="15">
      <c r="A39" s="101"/>
    </row>
    <row r="40" spans="1:15" ht="15">
      <c r="A40" s="101"/>
    </row>
    <row r="41" spans="1:15" ht="15">
      <c r="A41" s="101"/>
    </row>
    <row r="42" spans="1:15" ht="14.25">
      <c r="A42" s="1783" t="s">
        <v>1237</v>
      </c>
      <c r="O42" s="1783" t="s">
        <v>1238</v>
      </c>
    </row>
    <row r="43" spans="1:15" ht="15">
      <c r="A43" s="101"/>
    </row>
    <row r="45" spans="1:15" ht="15">
      <c r="A45" s="101"/>
    </row>
    <row r="46" spans="1:15" ht="15">
      <c r="A46" s="101"/>
    </row>
    <row r="47" spans="1:15" ht="15">
      <c r="A47" s="101"/>
    </row>
    <row r="48" spans="1:15" ht="15">
      <c r="A48" s="101"/>
    </row>
    <row r="50" spans="1:12" ht="15">
      <c r="A50" s="101"/>
      <c r="L50" s="115"/>
    </row>
    <row r="51" spans="1:12" ht="15">
      <c r="A51" s="101"/>
    </row>
    <row r="52" spans="1:12" ht="15">
      <c r="A52" s="101"/>
    </row>
    <row r="62" spans="1:12" ht="15.95" customHeight="1">
      <c r="A62" s="119"/>
      <c r="B62" s="119"/>
      <c r="C62" s="119"/>
      <c r="D62" s="119"/>
      <c r="E62" s="119"/>
      <c r="F62" s="119"/>
    </row>
    <row r="63" spans="1:12">
      <c r="A63" s="119"/>
      <c r="B63" s="119"/>
      <c r="C63" s="119"/>
      <c r="D63" s="119"/>
      <c r="E63" s="119"/>
      <c r="F63" s="119"/>
    </row>
  </sheetData>
  <pageMargins left="0.7" right="0.7" top="0.74" bottom="0.75" header="0.3" footer="0.3"/>
  <pageSetup paperSize="9"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AO214"/>
  <sheetViews>
    <sheetView showGridLines="0" tabSelected="1" topLeftCell="A3" zoomScale="76" zoomScaleNormal="76" zoomScalePageLayoutView="148" workbookViewId="0">
      <selection activeCell="G56" sqref="G56"/>
    </sheetView>
  </sheetViews>
  <sheetFormatPr baseColWidth="10" defaultColWidth="11.42578125" defaultRowHeight="14.25"/>
  <cols>
    <col min="1" max="1" width="2.28515625" style="214" customWidth="1"/>
    <col min="2" max="2" width="9" style="214" customWidth="1"/>
    <col min="3" max="3" width="8.5703125" style="66" customWidth="1"/>
    <col min="4" max="4" width="6.5703125" style="66" customWidth="1"/>
    <col min="5" max="5" width="6.85546875" style="214" customWidth="1"/>
    <col min="6" max="6" width="8.7109375" style="214" customWidth="1"/>
    <col min="7" max="7" width="8.140625" style="214" customWidth="1"/>
    <col min="8" max="8" width="8.7109375" style="214" customWidth="1"/>
    <col min="9" max="9" width="7.85546875" style="214" customWidth="1"/>
    <col min="10" max="10" width="8" style="214" customWidth="1"/>
    <col min="11" max="11" width="8.42578125" style="214" customWidth="1"/>
    <col min="12" max="12" width="8.28515625" style="214" customWidth="1"/>
    <col min="13" max="13" width="7.5703125" style="214" customWidth="1"/>
    <col min="14" max="14" width="5.5703125" style="227" customWidth="1"/>
    <col min="15" max="15" width="3.140625" style="227" customWidth="1"/>
    <col min="16" max="16" width="8.5703125" style="227" customWidth="1"/>
    <col min="17" max="17" width="6.85546875" style="227" customWidth="1"/>
    <col min="18" max="18" width="9" style="227" customWidth="1"/>
    <col min="19" max="19" width="6.140625" style="214" customWidth="1"/>
    <col min="20" max="20" width="7" style="214" customWidth="1"/>
    <col min="21" max="22" width="2.42578125" style="214" customWidth="1"/>
    <col min="23" max="24" width="3.42578125" style="214" customWidth="1"/>
    <col min="25" max="25" width="8.42578125" style="214" customWidth="1"/>
    <col min="26" max="26" width="7.28515625" style="214" customWidth="1"/>
    <col min="27" max="27" width="9.85546875" style="214" customWidth="1"/>
    <col min="28" max="28" width="7" style="214" customWidth="1"/>
    <col min="29" max="29" width="11.7109375" style="214" customWidth="1"/>
    <col min="30" max="30" width="10.42578125" style="214" customWidth="1"/>
    <col min="31" max="31" width="8.7109375" style="214" customWidth="1"/>
    <col min="32" max="32" width="11.42578125" style="214"/>
    <col min="33" max="33" width="9.42578125" style="214" customWidth="1"/>
    <col min="34" max="34" width="11.42578125" style="214"/>
    <col min="35" max="35" width="10.140625" style="214" customWidth="1"/>
    <col min="36" max="37" width="11.42578125" style="214"/>
    <col min="38" max="38" width="10.42578125" style="214" customWidth="1"/>
    <col min="39" max="39" width="9.140625" style="214" customWidth="1"/>
    <col min="40" max="16384" width="11.42578125" style="214"/>
  </cols>
  <sheetData>
    <row r="1" spans="1:36" ht="15.75" customHeight="1">
      <c r="A1" s="2468" t="s">
        <v>969</v>
      </c>
      <c r="B1" s="2469"/>
      <c r="C1" s="2469"/>
      <c r="D1" s="2469"/>
      <c r="E1" s="2470"/>
      <c r="F1" s="210" t="s">
        <v>416</v>
      </c>
      <c r="G1" s="2456"/>
      <c r="H1" s="2456"/>
      <c r="I1" s="2456"/>
      <c r="J1" s="211" t="s">
        <v>413</v>
      </c>
      <c r="K1" s="2456"/>
      <c r="L1" s="2456"/>
      <c r="M1" s="212" t="s">
        <v>508</v>
      </c>
      <c r="N1" s="1335"/>
      <c r="O1" s="1335"/>
      <c r="P1" s="213" t="s">
        <v>509</v>
      </c>
      <c r="Q1" s="1741"/>
      <c r="R1" s="1729" t="s">
        <v>507</v>
      </c>
      <c r="S1" s="1742"/>
      <c r="T1" s="1730" t="s">
        <v>1011</v>
      </c>
      <c r="U1" s="1731" t="str">
        <f>IF(Q1&lt;&gt;"","","← Tunnel span?")</f>
        <v>← Tunnel span?</v>
      </c>
      <c r="V1" s="1490"/>
      <c r="W1" s="1490"/>
      <c r="X1" s="587"/>
      <c r="Y1" s="3003" t="s">
        <v>1118</v>
      </c>
      <c r="Z1" s="3004"/>
      <c r="AA1" s="3004"/>
      <c r="AB1" s="3004"/>
      <c r="AC1" s="3004"/>
      <c r="AD1" s="3004"/>
      <c r="AE1" s="3004"/>
      <c r="AF1" s="3004"/>
      <c r="AG1" s="3004"/>
      <c r="AH1" s="3004"/>
      <c r="AI1" s="1581"/>
    </row>
    <row r="2" spans="1:36" ht="14.25" customHeight="1">
      <c r="A2" s="2471"/>
      <c r="B2" s="2472"/>
      <c r="C2" s="2472"/>
      <c r="D2" s="2472"/>
      <c r="E2" s="2473"/>
      <c r="F2" s="2452" t="s">
        <v>886</v>
      </c>
      <c r="G2" s="2453"/>
      <c r="H2" s="2453"/>
      <c r="I2" s="2453"/>
      <c r="J2" s="216"/>
      <c r="K2" s="216"/>
      <c r="L2" s="216"/>
      <c r="M2" s="217"/>
      <c r="N2" s="217"/>
      <c r="O2" s="218"/>
      <c r="P2" s="2433"/>
      <c r="Q2" s="2434"/>
      <c r="R2" s="1728" t="s">
        <v>414</v>
      </c>
      <c r="S2" s="2866"/>
      <c r="T2" s="2867"/>
      <c r="U2" s="1732" t="str">
        <f>IF(S1&lt;&gt;"","","← Wall height?")</f>
        <v>← Wall height?</v>
      </c>
      <c r="V2" s="1506"/>
      <c r="W2" s="1506"/>
      <c r="X2" s="587"/>
      <c r="Y2" s="1556"/>
      <c r="Z2" s="1492"/>
      <c r="AA2" s="1493"/>
      <c r="AB2" s="1493"/>
      <c r="AC2" s="1493"/>
      <c r="AD2" s="1493"/>
      <c r="AE2" s="1493"/>
      <c r="AF2" s="1493"/>
      <c r="AG2" s="1492"/>
      <c r="AH2" s="1494"/>
      <c r="AI2" s="1580"/>
      <c r="AJ2" s="219"/>
    </row>
    <row r="3" spans="1:36" ht="11.25" customHeight="1">
      <c r="A3" s="1203"/>
      <c r="B3" s="220" t="s">
        <v>892</v>
      </c>
      <c r="C3" s="2323" t="s">
        <v>891</v>
      </c>
      <c r="D3" s="221" t="s">
        <v>790</v>
      </c>
      <c r="E3" s="222" t="s">
        <v>926</v>
      </c>
      <c r="F3" s="2475" t="s">
        <v>966</v>
      </c>
      <c r="G3" s="2476"/>
      <c r="H3" s="2476"/>
      <c r="I3" s="2477"/>
      <c r="J3" s="2442"/>
      <c r="K3" s="2442"/>
      <c r="L3" s="2442"/>
      <c r="M3" s="2442"/>
      <c r="N3" s="2442"/>
      <c r="O3" s="2443"/>
      <c r="P3" s="2435"/>
      <c r="Q3" s="2436"/>
      <c r="R3" s="224" t="s">
        <v>380</v>
      </c>
      <c r="S3" s="3027"/>
      <c r="T3" s="3028"/>
      <c r="V3" s="2830" t="s">
        <v>1153</v>
      </c>
      <c r="W3" s="2831"/>
      <c r="X3" s="2832"/>
      <c r="Y3" s="1557" t="s">
        <v>1116</v>
      </c>
      <c r="Z3" s="1500" t="s">
        <v>1127</v>
      </c>
      <c r="AA3" s="1501"/>
      <c r="AB3" s="1495"/>
      <c r="AC3" s="1495"/>
      <c r="AD3" s="1495"/>
      <c r="AE3" s="1495"/>
      <c r="AF3" s="1495"/>
      <c r="AG3" s="1495"/>
      <c r="AH3" s="1495"/>
      <c r="AI3" s="1580"/>
      <c r="AJ3" s="219"/>
    </row>
    <row r="4" spans="1:36" ht="9.75" customHeight="1">
      <c r="A4" s="2454" t="s">
        <v>889</v>
      </c>
      <c r="B4" s="2868" t="s">
        <v>968</v>
      </c>
      <c r="C4" s="2868"/>
      <c r="D4" s="2869"/>
      <c r="E4" s="1331"/>
      <c r="F4" s="1724" t="s">
        <v>642</v>
      </c>
      <c r="G4" s="225" t="s">
        <v>1038</v>
      </c>
      <c r="H4" s="337" t="s">
        <v>1037</v>
      </c>
      <c r="I4" s="1725" t="s">
        <v>449</v>
      </c>
      <c r="J4" s="2444"/>
      <c r="K4" s="2444"/>
      <c r="L4" s="2444"/>
      <c r="M4" s="2444"/>
      <c r="N4" s="2444"/>
      <c r="O4" s="2445"/>
      <c r="P4" s="2366" t="s">
        <v>1025</v>
      </c>
      <c r="Q4" s="2367"/>
      <c r="R4" s="3024" t="s">
        <v>885</v>
      </c>
      <c r="S4" s="3025"/>
      <c r="T4" s="3026"/>
      <c r="V4" s="2363" t="s">
        <v>1165</v>
      </c>
      <c r="W4" s="2364"/>
      <c r="X4" s="2365"/>
      <c r="Y4" s="1558"/>
      <c r="Z4" s="1500" t="s">
        <v>1121</v>
      </c>
      <c r="AA4" s="1501"/>
      <c r="AB4" s="1495"/>
      <c r="AC4" s="1495"/>
      <c r="AD4" s="1495"/>
      <c r="AE4" s="1495"/>
      <c r="AF4" s="1495"/>
      <c r="AG4" s="1495"/>
      <c r="AH4" s="1495"/>
      <c r="AI4" s="1503"/>
    </row>
    <row r="5" spans="1:36" ht="9.75" customHeight="1">
      <c r="A5" s="2454"/>
      <c r="B5" s="2463" t="s">
        <v>890</v>
      </c>
      <c r="C5" s="2458"/>
      <c r="D5" s="2458"/>
      <c r="E5" s="2459"/>
      <c r="F5" s="1726"/>
      <c r="G5" s="1333"/>
      <c r="H5" s="1334"/>
      <c r="I5" s="1727"/>
      <c r="J5" s="2444"/>
      <c r="K5" s="2444"/>
      <c r="L5" s="2444"/>
      <c r="M5" s="2444"/>
      <c r="N5" s="2444"/>
      <c r="O5" s="2445"/>
      <c r="P5" s="2384" t="s">
        <v>113</v>
      </c>
      <c r="Q5" s="2376" t="s">
        <v>797</v>
      </c>
      <c r="R5" s="2392" t="str">
        <f>IF(AND(Q38="",Q11=""),"Min. input is  DJ  and/or  SRFz",IF(Q38&lt;&gt;"","",""))</f>
        <v/>
      </c>
      <c r="S5" s="2393"/>
      <c r="T5" s="2394"/>
      <c r="U5" s="1446"/>
      <c r="V5" s="1478"/>
      <c r="W5" s="1446"/>
      <c r="X5" s="1489"/>
      <c r="Y5" s="1559"/>
      <c r="Z5" s="1496" t="s">
        <v>1117</v>
      </c>
      <c r="AA5" s="1502"/>
      <c r="AB5" s="1497"/>
      <c r="AC5" s="1497"/>
      <c r="AD5" s="1497"/>
      <c r="AE5" s="1497"/>
      <c r="AF5" s="1497"/>
      <c r="AG5" s="1498"/>
      <c r="AH5" s="1498"/>
      <c r="AI5" s="1504"/>
    </row>
    <row r="6" spans="1:36" ht="9.75" customHeight="1">
      <c r="A6" s="2454"/>
      <c r="B6" s="2464"/>
      <c r="C6" s="2458"/>
      <c r="D6" s="2458"/>
      <c r="E6" s="2459"/>
      <c r="F6" s="1726"/>
      <c r="G6" s="1333"/>
      <c r="H6" s="1334"/>
      <c r="I6" s="1727"/>
      <c r="J6" s="2444"/>
      <c r="K6" s="2444"/>
      <c r="L6" s="2444"/>
      <c r="M6" s="2444"/>
      <c r="N6" s="2444"/>
      <c r="O6" s="2445"/>
      <c r="P6" s="2385"/>
      <c r="Q6" s="2377"/>
      <c r="R6" s="2395"/>
      <c r="S6" s="2396"/>
      <c r="T6" s="2397"/>
      <c r="U6" s="1446"/>
      <c r="V6" s="1478"/>
      <c r="W6" s="1446"/>
      <c r="Y6" s="1560"/>
      <c r="Z6" s="1561"/>
      <c r="AA6" s="1562"/>
      <c r="AB6" s="1562"/>
      <c r="AC6" s="1562"/>
      <c r="AD6" s="1562"/>
      <c r="AE6" s="1562"/>
      <c r="AF6" s="1562"/>
      <c r="AG6" s="1562"/>
      <c r="AH6" s="1563"/>
      <c r="AI6" s="1564"/>
    </row>
    <row r="7" spans="1:36" ht="9.75" customHeight="1">
      <c r="A7" s="2454"/>
      <c r="B7" s="228" t="s">
        <v>893</v>
      </c>
      <c r="C7" s="2457"/>
      <c r="D7" s="2458"/>
      <c r="E7" s="2459"/>
      <c r="F7" s="1726"/>
      <c r="G7" s="1333"/>
      <c r="H7" s="1334"/>
      <c r="I7" s="1727"/>
      <c r="J7" s="2444"/>
      <c r="K7" s="2444"/>
      <c r="L7" s="2444"/>
      <c r="M7" s="2444"/>
      <c r="N7" s="2444"/>
      <c r="O7" s="2445"/>
      <c r="P7" s="2431" t="s">
        <v>723</v>
      </c>
      <c r="Q7" s="2437"/>
      <c r="R7" s="2368" t="s">
        <v>803</v>
      </c>
      <c r="S7" s="2369"/>
      <c r="T7" s="1760" t="s">
        <v>785</v>
      </c>
      <c r="V7" s="379"/>
      <c r="X7" s="334"/>
      <c r="Y7" s="1565" t="s">
        <v>1119</v>
      </c>
      <c r="Z7" s="1566" t="s">
        <v>1122</v>
      </c>
      <c r="AA7" s="1567"/>
      <c r="AB7" s="1568"/>
      <c r="AC7" s="1568"/>
      <c r="AD7" s="1568"/>
      <c r="AE7" s="1568"/>
      <c r="AF7" s="1568"/>
      <c r="AG7" s="1563"/>
      <c r="AH7" s="1563"/>
      <c r="AI7" s="1564"/>
    </row>
    <row r="8" spans="1:36" ht="11.25" customHeight="1" thickBot="1">
      <c r="A8" s="2455"/>
      <c r="B8" s="1604"/>
      <c r="C8" s="1605"/>
      <c r="D8" s="1254" t="s">
        <v>967</v>
      </c>
      <c r="E8" s="1332"/>
      <c r="F8" s="2465"/>
      <c r="G8" s="2466"/>
      <c r="H8" s="2466"/>
      <c r="I8" s="2467"/>
      <c r="J8" s="2446"/>
      <c r="K8" s="2446"/>
      <c r="L8" s="2446"/>
      <c r="M8" s="2446"/>
      <c r="N8" s="2446"/>
      <c r="O8" s="2447"/>
      <c r="P8" s="2432"/>
      <c r="Q8" s="2438"/>
      <c r="R8" s="2398" t="str">
        <f>IF(Q11="","",IF(Q7="","Jointed rockmass assumed",""))</f>
        <v>Jointed rockmass assumed</v>
      </c>
      <c r="S8" s="2399"/>
      <c r="T8" s="229" t="str">
        <f>IF(AND(Q11="",Q7&lt;&gt;""),"←remove",IF(AND(Q7="",Q11&lt;&gt;""),"← input ?",IF(OR(Q7="",Q7="a",Q7="b",Q7="c",Q7="d",Q7="e",Q7="f",Q7="g",Q7="h",Q7="i"),"","check input")))</f>
        <v>← input ?</v>
      </c>
      <c r="V8" s="379"/>
      <c r="Y8" s="1560"/>
      <c r="Z8" s="1569" t="s">
        <v>1123</v>
      </c>
      <c r="AA8" s="1561"/>
      <c r="AB8" s="1563"/>
      <c r="AC8" s="1570"/>
      <c r="AD8" s="1570"/>
      <c r="AE8" s="1570"/>
      <c r="AF8" s="1570"/>
      <c r="AG8" s="1561"/>
      <c r="AH8" s="1571"/>
      <c r="AI8" s="1572"/>
    </row>
    <row r="9" spans="1:36" ht="9.75" customHeight="1" thickTop="1">
      <c r="A9" s="2966" t="s">
        <v>1029</v>
      </c>
      <c r="B9" s="121" t="s">
        <v>963</v>
      </c>
      <c r="C9" s="1256"/>
      <c r="D9" s="1256"/>
      <c r="E9" s="2474" t="s">
        <v>461</v>
      </c>
      <c r="F9" s="232" t="s">
        <v>626</v>
      </c>
      <c r="G9" s="233" t="s">
        <v>336</v>
      </c>
      <c r="H9" s="233" t="s">
        <v>627</v>
      </c>
      <c r="I9" s="234" t="s">
        <v>628</v>
      </c>
      <c r="J9" s="235" t="s">
        <v>629</v>
      </c>
      <c r="K9" s="235" t="s">
        <v>630</v>
      </c>
      <c r="L9" s="236" t="s">
        <v>631</v>
      </c>
      <c r="M9" s="237" t="s">
        <v>632</v>
      </c>
      <c r="N9" s="2400" t="s">
        <v>633</v>
      </c>
      <c r="O9" s="2401"/>
      <c r="P9" s="2420" t="s">
        <v>385</v>
      </c>
      <c r="Q9" s="2408"/>
      <c r="R9" s="2386" t="str">
        <f>IF(Q11="","","Input assumed:")</f>
        <v>Input assumed:</v>
      </c>
      <c r="S9" s="2328">
        <f>IF(R9="","",E147)</f>
        <v>100</v>
      </c>
      <c r="T9" s="2331" t="str">
        <f>IF(AND(Q11="",Q9&lt;&gt;""),"←remove",IF(OR(Q9="",Q9="a",Q9="b",Q9="c",Q9="d",Q9="e",Q9="f",Q9="g",Q9="h",Q9="i"),"","check input"))</f>
        <v/>
      </c>
      <c r="U9" s="240"/>
      <c r="V9" s="1451"/>
      <c r="W9" s="240"/>
      <c r="Y9" s="1573"/>
      <c r="Z9" s="1574"/>
      <c r="AA9" s="1575"/>
      <c r="AB9" s="1576"/>
      <c r="AC9" s="1577"/>
      <c r="AD9" s="1577"/>
      <c r="AE9" s="1577"/>
      <c r="AF9" s="1577"/>
      <c r="AG9" s="1575"/>
      <c r="AH9" s="1578"/>
      <c r="AI9" s="1579"/>
    </row>
    <row r="10" spans="1:36" ht="9.75" customHeight="1">
      <c r="A10" s="2966"/>
      <c r="B10" s="1390" t="s">
        <v>1088</v>
      </c>
      <c r="C10" s="241"/>
      <c r="D10" s="241"/>
      <c r="E10" s="2427"/>
      <c r="F10" s="242" t="s">
        <v>16</v>
      </c>
      <c r="G10" s="243" t="s">
        <v>17</v>
      </c>
      <c r="H10" s="244" t="s">
        <v>20</v>
      </c>
      <c r="I10" s="244" t="s">
        <v>22</v>
      </c>
      <c r="J10" s="244" t="s">
        <v>24</v>
      </c>
      <c r="K10" s="284" t="s">
        <v>26</v>
      </c>
      <c r="L10" s="245" t="s">
        <v>28</v>
      </c>
      <c r="M10" s="246" t="s">
        <v>52</v>
      </c>
      <c r="N10" s="2439" t="s">
        <v>54</v>
      </c>
      <c r="O10" s="2440"/>
      <c r="P10" s="2441"/>
      <c r="Q10" s="2409"/>
      <c r="R10" s="2387"/>
      <c r="S10" s="2329"/>
      <c r="T10" s="2331"/>
      <c r="U10" s="240"/>
      <c r="V10" s="1451"/>
      <c r="W10" s="240"/>
      <c r="X10" s="240"/>
      <c r="Y10" s="1452"/>
      <c r="Z10" s="1452"/>
      <c r="AA10" s="1452"/>
      <c r="AB10" s="1453"/>
      <c r="AC10" s="1454"/>
      <c r="AD10" s="1448"/>
      <c r="AE10" s="1448"/>
      <c r="AF10" s="1448"/>
      <c r="AG10" s="248"/>
      <c r="AH10" s="1449"/>
      <c r="AI10" s="1450"/>
    </row>
    <row r="11" spans="1:36" ht="8.25" customHeight="1">
      <c r="A11" s="2966"/>
      <c r="B11" s="2460" t="s">
        <v>899</v>
      </c>
      <c r="C11" s="2460"/>
      <c r="D11" s="2460"/>
      <c r="E11" s="2478" t="s">
        <v>679</v>
      </c>
      <c r="F11" s="249" t="s">
        <v>351</v>
      </c>
      <c r="G11" s="234" t="s">
        <v>520</v>
      </c>
      <c r="H11" s="1431" t="s">
        <v>680</v>
      </c>
      <c r="I11" s="2390" t="s">
        <v>786</v>
      </c>
      <c r="J11" s="2451"/>
      <c r="K11" s="1431" t="s">
        <v>787</v>
      </c>
      <c r="L11" s="251" t="s">
        <v>519</v>
      </c>
      <c r="M11" s="1330"/>
      <c r="N11" s="1366"/>
      <c r="O11" s="1367"/>
      <c r="P11" s="2380" t="s">
        <v>682</v>
      </c>
      <c r="Q11" s="2378" t="s">
        <v>24</v>
      </c>
      <c r="R11" s="2339" t="str">
        <f>IF(Q11="","",IF(Q11="a","Crushed rock",IF(Q11="b","Broken rock",IF(Q11="c","Strongly jointed",IF(OR(Q11="d",Q11="e"),"Moderately jointed",IF(Q11="f","Slightly jointed                     (low degree of jointing)",IF(Q11="g","Massive rockmass")))))))</f>
        <v>Moderately jointed</v>
      </c>
      <c r="S11" s="2340"/>
      <c r="T11" s="2332" t="str">
        <f>IF(AND(Q11="",Q38=""),"← input",IF(OR(Q11="a",Q11="b",Q11="c",Q11="d",Q11="e",Q11="f",Q11="g"),"",IF(AND(Q38&lt;&gt;"",Q11=""),"",IF(OR(Q38="",Q11&lt;&gt;""),"check input"))))</f>
        <v/>
      </c>
      <c r="U11" s="240"/>
      <c r="V11" s="1451"/>
      <c r="W11" s="240"/>
      <c r="Z11" s="1491"/>
      <c r="AA11" s="1491"/>
      <c r="AB11" s="1491"/>
      <c r="AC11" s="1491"/>
      <c r="AD11" s="1491"/>
      <c r="AE11" s="1491"/>
      <c r="AF11" s="1491"/>
      <c r="AG11" s="1491"/>
      <c r="AH11" s="1491"/>
      <c r="AI11" s="1491"/>
    </row>
    <row r="12" spans="1:36" ht="9" customHeight="1">
      <c r="A12" s="2966"/>
      <c r="B12" s="2461"/>
      <c r="C12" s="2461"/>
      <c r="D12" s="2461"/>
      <c r="E12" s="2479"/>
      <c r="F12" s="252" t="s">
        <v>16</v>
      </c>
      <c r="G12" s="253" t="s">
        <v>17</v>
      </c>
      <c r="H12" s="253" t="s">
        <v>20</v>
      </c>
      <c r="I12" s="253" t="s">
        <v>22</v>
      </c>
      <c r="J12" s="253" t="s">
        <v>24</v>
      </c>
      <c r="K12" s="254" t="s">
        <v>26</v>
      </c>
      <c r="L12" s="255" t="s">
        <v>28</v>
      </c>
      <c r="M12" s="2310"/>
      <c r="N12" s="2382"/>
      <c r="O12" s="2383"/>
      <c r="P12" s="2381"/>
      <c r="Q12" s="2379"/>
      <c r="R12" s="2341"/>
      <c r="S12" s="2342"/>
      <c r="T12" s="2332"/>
      <c r="U12" s="240"/>
      <c r="V12" s="1451"/>
      <c r="W12" s="2343" t="s">
        <v>1162</v>
      </c>
      <c r="X12" s="2344"/>
      <c r="Y12" s="2357" t="s">
        <v>950</v>
      </c>
      <c r="Z12" s="2358"/>
      <c r="AB12" s="1491"/>
      <c r="AC12" s="1491"/>
      <c r="AD12" s="1505"/>
      <c r="AE12" s="1491"/>
      <c r="AF12" s="1491"/>
      <c r="AG12" s="1491"/>
      <c r="AH12" s="1491"/>
      <c r="AI12" s="1491"/>
    </row>
    <row r="13" spans="1:36" ht="9.75" customHeight="1">
      <c r="A13" s="2966"/>
      <c r="B13" s="2462" t="s">
        <v>683</v>
      </c>
      <c r="C13" s="2462"/>
      <c r="D13" s="256"/>
      <c r="E13" s="257" t="s">
        <v>644</v>
      </c>
      <c r="F13" s="2311" t="s">
        <v>986</v>
      </c>
      <c r="G13" s="2311" t="s">
        <v>335</v>
      </c>
      <c r="H13" s="2311" t="s">
        <v>667</v>
      </c>
      <c r="I13" s="2311" t="s">
        <v>668</v>
      </c>
      <c r="J13" s="2311" t="s">
        <v>972</v>
      </c>
      <c r="K13" s="2312" t="s">
        <v>973</v>
      </c>
      <c r="L13" s="2313">
        <v>100</v>
      </c>
      <c r="M13" s="2314"/>
      <c r="N13" s="2449"/>
      <c r="O13" s="2450"/>
      <c r="P13" s="258" t="s">
        <v>717</v>
      </c>
      <c r="Q13" s="1418"/>
      <c r="R13" s="1409" t="str">
        <f>IF(Q11="","","Input used =")</f>
        <v>Input used =</v>
      </c>
      <c r="S13" s="259">
        <f>IF(R13="","",D114)</f>
        <v>82.5</v>
      </c>
      <c r="T13" s="239" t="str">
        <f>IF(AND(Q11="",Q13&lt;&gt;""),"←remove",IF(OR(Q13="a",Q13="b",Q13="c",Q13="d",Q13="e",Q13="f",Q13="g",Q13="h",Q13="i"),"check input",""))</f>
        <v/>
      </c>
      <c r="U13" s="1447"/>
      <c r="V13" s="1479"/>
      <c r="W13" s="2345"/>
      <c r="X13" s="2346"/>
      <c r="Y13" s="2359"/>
      <c r="Z13" s="2360"/>
      <c r="AB13" s="1491"/>
      <c r="AC13" s="1491"/>
      <c r="AD13" s="1491"/>
      <c r="AE13" s="1491"/>
      <c r="AF13" s="1491"/>
      <c r="AG13" s="1491"/>
      <c r="AH13" s="1491"/>
      <c r="AI13" s="1491"/>
    </row>
    <row r="14" spans="1:36" ht="9.75" customHeight="1">
      <c r="A14" s="2966"/>
      <c r="B14" s="3029" t="s">
        <v>684</v>
      </c>
      <c r="C14" s="3029"/>
      <c r="D14" s="260"/>
      <c r="E14" s="261" t="s">
        <v>447</v>
      </c>
      <c r="F14" s="2315" t="s">
        <v>974</v>
      </c>
      <c r="G14" s="2316" t="s">
        <v>975</v>
      </c>
      <c r="H14" s="2315" t="s">
        <v>735</v>
      </c>
      <c r="I14" s="2315" t="s">
        <v>976</v>
      </c>
      <c r="J14" s="2315" t="s">
        <v>977</v>
      </c>
      <c r="K14" s="2317" t="s">
        <v>978</v>
      </c>
      <c r="L14" s="2315" t="s">
        <v>1154</v>
      </c>
      <c r="M14" s="2318"/>
      <c r="N14" s="2370"/>
      <c r="O14" s="2371"/>
      <c r="P14" s="262" t="s">
        <v>701</v>
      </c>
      <c r="Q14" s="1692"/>
      <c r="R14" s="1410" t="str">
        <f>IF(Q11="","","Input used =")</f>
        <v>Input used =</v>
      </c>
      <c r="S14" s="263">
        <f>IF(R14="","",E159)</f>
        <v>4.2500000000000003E-2</v>
      </c>
      <c r="T14" s="239" t="str">
        <f>IF(AND(Q11="",Q14&lt;&gt;""),"←remove",IF(OR(Q14="a",Q14="b",Q14="c",Q14="d",Q14="e",Q14="f",Q14="g",Q14="h",Q14="i"),"check input",""))</f>
        <v/>
      </c>
      <c r="U14" s="1447"/>
      <c r="V14" s="1479"/>
      <c r="W14" s="1447"/>
      <c r="X14" s="1452"/>
      <c r="Y14" s="1455"/>
      <c r="Z14" s="1455"/>
      <c r="AA14" s="1455"/>
      <c r="AB14" s="1455"/>
      <c r="AC14" s="1455"/>
      <c r="AD14" s="1455"/>
      <c r="AE14" s="1455"/>
      <c r="AF14" s="1455"/>
      <c r="AG14" s="1455"/>
      <c r="AH14" s="1455"/>
      <c r="AI14" s="1455"/>
    </row>
    <row r="15" spans="1:36" ht="9.75" customHeight="1">
      <c r="A15" s="2966"/>
      <c r="B15" s="3030" t="s">
        <v>685</v>
      </c>
      <c r="C15" s="3030"/>
      <c r="D15" s="264" t="s">
        <v>681</v>
      </c>
      <c r="E15" s="265" t="s">
        <v>444</v>
      </c>
      <c r="F15" s="2319" t="s">
        <v>979</v>
      </c>
      <c r="G15" s="2320" t="s">
        <v>980</v>
      </c>
      <c r="H15" s="2319" t="s">
        <v>981</v>
      </c>
      <c r="I15" s="2319" t="s">
        <v>982</v>
      </c>
      <c r="J15" s="2319" t="s">
        <v>983</v>
      </c>
      <c r="K15" s="2321" t="s">
        <v>984</v>
      </c>
      <c r="L15" s="2320" t="s">
        <v>1102</v>
      </c>
      <c r="M15" s="2322"/>
      <c r="N15" s="2372"/>
      <c r="O15" s="2373"/>
      <c r="P15" s="266" t="s">
        <v>700</v>
      </c>
      <c r="Q15" s="209"/>
      <c r="R15" s="1411" t="str">
        <f>IF(AND(Q15="",Q11&lt;&gt;""),"Jv =",IF(Q15&lt;&gt;"","Jv =",""))</f>
        <v>Jv =</v>
      </c>
      <c r="S15" s="1691">
        <f>IF(R15="","",IF(Q15&lt;&gt;"",Q15,IF(Q11="a",'Parameter tables'!C50,IF(Q11="b",'Parameter tables'!C51,IF(Q11="c",'Parameter tables'!C52,IF(Q11="d",'Parameter tables'!C53,IF(Q11="e",'Parameter tables'!C54,IF(Q11="f",'Parameter tables'!C55,IF(Q11="g",'Parameter tables'!C56,IF(Q11="h",'Parameter tables'!#REF!,IF(Q11="i",'Parameter tables'!#REF!,"?")))))))))))</f>
        <v>11</v>
      </c>
      <c r="T15" s="239" t="str">
        <f>IF(AND(Q11="",Q15&lt;&gt;""),"←remove",IF(OR(Q15="a",Q15="b",Q15="c",Q15="d",Q15="e",Q15="f",Q15="g",Q15="h",Q15="i"),"check input",""))</f>
        <v/>
      </c>
      <c r="U15" s="1447"/>
      <c r="V15" s="1479"/>
      <c r="W15" s="1447"/>
      <c r="X15" s="1452"/>
      <c r="Y15" s="1455"/>
      <c r="Z15" s="1455"/>
      <c r="AA15" s="1455"/>
      <c r="AB15" s="1455"/>
      <c r="AC15" s="1455"/>
      <c r="AD15" s="1455"/>
      <c r="AE15" s="1455"/>
      <c r="AF15" s="1455"/>
      <c r="AG15" s="1455"/>
    </row>
    <row r="16" spans="1:36" ht="8.25" customHeight="1">
      <c r="A16" s="2966"/>
      <c r="B16" s="2480" t="s">
        <v>446</v>
      </c>
      <c r="C16" s="267" t="s">
        <v>910</v>
      </c>
      <c r="D16" s="268"/>
      <c r="E16" s="2426" t="s">
        <v>909</v>
      </c>
      <c r="F16" s="269" t="s">
        <v>914</v>
      </c>
      <c r="G16" s="269" t="s">
        <v>913</v>
      </c>
      <c r="H16" s="233" t="s">
        <v>915</v>
      </c>
      <c r="I16" s="233" t="s">
        <v>912</v>
      </c>
      <c r="J16" s="233" t="s">
        <v>911</v>
      </c>
      <c r="K16" s="270" t="s">
        <v>965</v>
      </c>
      <c r="L16" s="271"/>
      <c r="M16" s="272"/>
      <c r="N16" s="273"/>
      <c r="O16" s="2388"/>
      <c r="P16" s="2448" t="s">
        <v>951</v>
      </c>
      <c r="Q16" s="2408"/>
      <c r="R16" s="2386" t="str">
        <f>IF(Q11="","",IF(Q16="","Input assumed:",""))</f>
        <v>Input assumed:</v>
      </c>
      <c r="S16" s="2361" t="str">
        <f>IF(R16="","",'Parameter tables'!G69)</f>
        <v>b</v>
      </c>
      <c r="T16" s="2892" t="str">
        <f>IF(AND(Q11="",Q16&lt;&gt;""),"←remove",IF(OR(Q16="",Q16="a",Q16="b",Q16="c",Q16="d",Q16="e"),"","check input"))</f>
        <v/>
      </c>
      <c r="U16" s="240"/>
      <c r="V16" s="1451"/>
      <c r="W16" s="240"/>
      <c r="X16" s="2330" t="s">
        <v>948</v>
      </c>
      <c r="Y16" s="2330"/>
      <c r="Z16" s="2330"/>
      <c r="AA16" s="2330"/>
      <c r="AB16" s="2330"/>
      <c r="AC16" s="2330"/>
      <c r="AD16" s="2330"/>
      <c r="AE16" s="2330"/>
      <c r="AF16" s="2330"/>
      <c r="AG16" s="231"/>
    </row>
    <row r="17" spans="1:41" ht="9" customHeight="1" thickBot="1">
      <c r="A17" s="2966"/>
      <c r="B17" s="2481"/>
      <c r="C17" s="1733" t="s">
        <v>1155</v>
      </c>
      <c r="D17" s="3"/>
      <c r="E17" s="2427"/>
      <c r="F17" s="1373" t="s">
        <v>16</v>
      </c>
      <c r="G17" s="1373" t="s">
        <v>17</v>
      </c>
      <c r="H17" s="1374" t="s">
        <v>20</v>
      </c>
      <c r="I17" s="1374" t="s">
        <v>22</v>
      </c>
      <c r="J17" s="1374" t="s">
        <v>24</v>
      </c>
      <c r="K17" s="274"/>
      <c r="L17" s="275"/>
      <c r="M17" s="276"/>
      <c r="N17" s="276"/>
      <c r="O17" s="2389"/>
      <c r="P17" s="2424"/>
      <c r="Q17" s="2409"/>
      <c r="R17" s="2387"/>
      <c r="S17" s="2362"/>
      <c r="T17" s="2892"/>
      <c r="U17" s="240"/>
      <c r="V17" s="1451"/>
      <c r="W17" s="240"/>
      <c r="X17" s="2330"/>
      <c r="Y17" s="2330"/>
      <c r="Z17" s="2330"/>
      <c r="AA17" s="2330"/>
      <c r="AB17" s="2330"/>
      <c r="AC17" s="2330"/>
      <c r="AD17" s="2330"/>
      <c r="AE17" s="2330"/>
      <c r="AF17" s="2330"/>
      <c r="AG17" s="231"/>
    </row>
    <row r="18" spans="1:41" ht="8.25" customHeight="1">
      <c r="A18" s="2966"/>
      <c r="B18" s="2481"/>
      <c r="C18" s="267" t="s">
        <v>12</v>
      </c>
      <c r="D18" s="277"/>
      <c r="E18" s="2426" t="s">
        <v>456</v>
      </c>
      <c r="F18" s="251" t="s">
        <v>347</v>
      </c>
      <c r="G18" s="234" t="s">
        <v>46</v>
      </c>
      <c r="H18" s="278" t="s">
        <v>348</v>
      </c>
      <c r="I18" s="233" t="s">
        <v>383</v>
      </c>
      <c r="J18" s="279" t="s">
        <v>643</v>
      </c>
      <c r="K18" s="250" t="s">
        <v>349</v>
      </c>
      <c r="L18" s="279" t="s">
        <v>964</v>
      </c>
      <c r="M18" s="250" t="s">
        <v>350</v>
      </c>
      <c r="N18" s="2390" t="s">
        <v>351</v>
      </c>
      <c r="O18" s="2391"/>
      <c r="P18" s="2423" t="s">
        <v>463</v>
      </c>
      <c r="Q18" s="2408"/>
      <c r="R18" s="2386" t="str">
        <f>IF(Q11="","",IF(Q18&lt;&gt;"","","Input assumed:"))</f>
        <v>Input assumed:</v>
      </c>
      <c r="S18" s="2361" t="str">
        <f>IF(R18="","",IF(E158&gt;'Parameter tables'!O74,'Parameter tables'!G74,IF(E158&gt;'Parameter tables'!O75,'Parameter tables'!G75,IF(E158&gt;'Parameter tables'!O76,'Parameter tables'!G76,IF(E158&gt;'Parameter tables'!O77,'Parameter tables'!G77,IF(E158&gt;'Parameter tables'!O78,'Parameter tables'!G78,IF(E158&gt;'Parameter tables'!O79,'Parameter tables'!G79,IF(E158&gt;'Parameter tables'!O80,'Parameter tables'!G80,'Parameter tables'!G81))))))))</f>
        <v>e</v>
      </c>
      <c r="T18" s="2331" t="str">
        <f>IF(AND(Q11="",Q18&lt;&gt;""),"←remove",IF(OR(Q18="",Q18="a",Q18="b",Q18="c",Q18="d",Q18="e",Q18="f",Q18="g",Q18="h",Q18="i"),"","check input"))</f>
        <v/>
      </c>
      <c r="U18" s="1456"/>
      <c r="V18" s="1480"/>
      <c r="W18" s="1456"/>
      <c r="X18" s="2896" t="s">
        <v>113</v>
      </c>
      <c r="Y18" s="2353"/>
      <c r="Z18" s="1696" t="s">
        <v>724</v>
      </c>
      <c r="AA18" s="2351" t="s">
        <v>725</v>
      </c>
      <c r="AB18" s="2352"/>
      <c r="AC18" s="2353"/>
      <c r="AD18" s="2351" t="s">
        <v>1072</v>
      </c>
      <c r="AE18" s="2352"/>
      <c r="AF18" s="2353"/>
      <c r="AG18" s="2351" t="s">
        <v>798</v>
      </c>
      <c r="AH18" s="3005"/>
      <c r="AI18" s="231"/>
      <c r="AK18" s="231"/>
      <c r="AL18" s="231"/>
      <c r="AM18" s="231"/>
      <c r="AN18" s="231"/>
    </row>
    <row r="19" spans="1:41" ht="9" customHeight="1">
      <c r="A19" s="2966"/>
      <c r="B19" s="2481"/>
      <c r="C19" s="280"/>
      <c r="D19" s="281"/>
      <c r="E19" s="2427"/>
      <c r="F19" s="1375" t="s">
        <v>16</v>
      </c>
      <c r="G19" s="1374" t="s">
        <v>17</v>
      </c>
      <c r="H19" s="1374" t="s">
        <v>20</v>
      </c>
      <c r="I19" s="1374" t="s">
        <v>22</v>
      </c>
      <c r="J19" s="1374" t="s">
        <v>24</v>
      </c>
      <c r="K19" s="1376" t="s">
        <v>26</v>
      </c>
      <c r="L19" s="1377" t="s">
        <v>28</v>
      </c>
      <c r="M19" s="1378" t="s">
        <v>52</v>
      </c>
      <c r="N19" s="2374" t="s">
        <v>54</v>
      </c>
      <c r="O19" s="2375"/>
      <c r="P19" s="2424"/>
      <c r="Q19" s="2409"/>
      <c r="R19" s="2387"/>
      <c r="S19" s="2362"/>
      <c r="T19" s="2331"/>
      <c r="U19" s="1456"/>
      <c r="V19" s="1480"/>
      <c r="W19" s="1456"/>
      <c r="X19" s="3012" t="s">
        <v>1031</v>
      </c>
      <c r="Y19" s="3013"/>
      <c r="Z19" s="3010"/>
      <c r="AA19" s="285" t="s">
        <v>759</v>
      </c>
      <c r="AB19" s="286" t="str">
        <f>IF(Z23="","",IF(110-2.5*Z23&gt;100,100,IF(110-2.5*Z23&lt;0,0,110-2.5*Z23)))</f>
        <v/>
      </c>
      <c r="AC19" s="287"/>
      <c r="AD19" s="288" t="s">
        <v>732</v>
      </c>
      <c r="AF19" s="1419"/>
      <c r="AG19" s="1426" t="str">
        <f>IF(OR(AB19&lt;&gt;"",AB20&lt;&gt;"")," Calculated RQD can be unaccurate","")</f>
        <v/>
      </c>
      <c r="AH19" s="1697"/>
    </row>
    <row r="20" spans="1:41" ht="8.25" customHeight="1">
      <c r="A20" s="2966"/>
      <c r="B20" s="2481"/>
      <c r="C20" s="289"/>
      <c r="D20" s="289"/>
      <c r="E20" s="2426" t="s">
        <v>440</v>
      </c>
      <c r="F20" s="269" t="s">
        <v>457</v>
      </c>
      <c r="G20" s="269" t="s">
        <v>373</v>
      </c>
      <c r="H20" s="269" t="s">
        <v>181</v>
      </c>
      <c r="I20" s="233" t="s">
        <v>374</v>
      </c>
      <c r="J20" s="233" t="s">
        <v>605</v>
      </c>
      <c r="K20" s="1330"/>
      <c r="L20" s="2501" t="s">
        <v>1039</v>
      </c>
      <c r="M20" s="2426"/>
      <c r="N20" s="2497"/>
      <c r="O20" s="2498"/>
      <c r="P20" s="290" t="s">
        <v>670</v>
      </c>
      <c r="Q20" s="125"/>
      <c r="R20" s="291" t="str">
        <f>IF(Q11="","",IF(Q20&lt;&gt;"","","Input assumed:"))</f>
        <v>Input assumed:</v>
      </c>
      <c r="S20" s="1407" t="str">
        <f>IF(R20="","",'Parameter tables'!G87)</f>
        <v>c</v>
      </c>
      <c r="T20" s="292" t="str">
        <f>IF(AND(Q11="",Q20&lt;&gt;""),"←remove",IF(OR(Q20="",Q20="a",Q20="b",Q20="c",Q20="d",Q20="e"),"","check input"))</f>
        <v/>
      </c>
      <c r="U20" s="1456"/>
      <c r="V20" s="1480"/>
      <c r="W20" s="1456"/>
      <c r="X20" s="3014"/>
      <c r="Y20" s="3015"/>
      <c r="Z20" s="3011"/>
      <c r="AA20" s="285" t="s">
        <v>760</v>
      </c>
      <c r="AB20" s="293" t="str">
        <f>IF(Z21="","",IF(Z25="","",IF(110-2.5*((Z21/1000)/Z25)^-0.333&gt;100,100,IF(110-2.5*((Z21/1000)/Z25)^-0.333&lt;0,0,110-2.5*((Z21/1000)/Z25)^-0.333))))</f>
        <v/>
      </c>
      <c r="AC20" s="287"/>
      <c r="AD20" s="2354" t="s">
        <v>764</v>
      </c>
      <c r="AE20" s="2355"/>
      <c r="AF20" s="2356"/>
      <c r="AG20" s="1422"/>
      <c r="AH20" s="1697"/>
    </row>
    <row r="21" spans="1:41" ht="9" customHeight="1">
      <c r="A21" s="2966"/>
      <c r="B21" s="2482"/>
      <c r="C21" s="294" t="s">
        <v>600</v>
      </c>
      <c r="D21" s="295"/>
      <c r="E21" s="2427"/>
      <c r="F21" s="1379" t="s">
        <v>16</v>
      </c>
      <c r="G21" s="1379" t="s">
        <v>17</v>
      </c>
      <c r="H21" s="1379" t="s">
        <v>20</v>
      </c>
      <c r="I21" s="1376" t="s">
        <v>22</v>
      </c>
      <c r="J21" s="1376" t="s">
        <v>24</v>
      </c>
      <c r="K21" s="2502" t="s">
        <v>1066</v>
      </c>
      <c r="L21" s="2503"/>
      <c r="M21" s="2504"/>
      <c r="N21" s="2499"/>
      <c r="O21" s="2500"/>
      <c r="P21" s="296" t="s">
        <v>671</v>
      </c>
      <c r="Q21" s="124"/>
      <c r="R21" s="247" t="str">
        <f>IF(Q11="","",IF(Q21&lt;&gt;"","","Input assumed:"))</f>
        <v>Input assumed:</v>
      </c>
      <c r="S21" s="1408" t="str">
        <f>IF(R21="","",'Parameter tables'!G87)</f>
        <v>c</v>
      </c>
      <c r="T21" s="292" t="str">
        <f>IF(AND(Q11="",Q21&lt;&gt;""),"←remove",IF(OR(Q21="",Q21="a",Q21="b",Q21="c",Q21="d",Q21="e"),"","check input"))</f>
        <v/>
      </c>
      <c r="U21" s="1456"/>
      <c r="V21" s="1480"/>
      <c r="W21" s="1456"/>
      <c r="X21" s="2333" t="s">
        <v>1032</v>
      </c>
      <c r="Y21" s="2334"/>
      <c r="Z21" s="1755"/>
      <c r="AA21" s="297" t="s">
        <v>758</v>
      </c>
      <c r="AB21" s="298" t="str">
        <f>IF(Z19="","",IF(Z25="","",Z25*(44-Z19/2.5)^-3))</f>
        <v/>
      </c>
      <c r="AC21" s="299" t="str">
        <f>IF(AB21="","",IF(Z25="","",1000*AB21))</f>
        <v/>
      </c>
      <c r="AD21" s="309" t="s">
        <v>765</v>
      </c>
      <c r="AE21" s="1368"/>
      <c r="AF21" s="558"/>
      <c r="AG21" s="1423" t="str">
        <f>IF(AB21&lt;&gt;""," Calculation of Vb from RQD can be unaccurate","")</f>
        <v/>
      </c>
      <c r="AH21" s="1698"/>
    </row>
    <row r="22" spans="1:41" ht="8.25" customHeight="1">
      <c r="A22" s="2966"/>
      <c r="B22" s="2480" t="s">
        <v>645</v>
      </c>
      <c r="C22" s="2489" t="s">
        <v>445</v>
      </c>
      <c r="D22" s="2490"/>
      <c r="E22" s="2493" t="s">
        <v>464</v>
      </c>
      <c r="F22" s="234" t="s">
        <v>352</v>
      </c>
      <c r="G22" s="234" t="s">
        <v>353</v>
      </c>
      <c r="H22" s="234" t="s">
        <v>354</v>
      </c>
      <c r="I22" s="234" t="s">
        <v>355</v>
      </c>
      <c r="J22" s="300" t="s">
        <v>356</v>
      </c>
      <c r="K22" s="301" t="s">
        <v>357</v>
      </c>
      <c r="L22" s="302" t="s">
        <v>358</v>
      </c>
      <c r="M22" s="303"/>
      <c r="N22" s="304"/>
      <c r="O22" s="305"/>
      <c r="P22" s="2420" t="s">
        <v>60</v>
      </c>
      <c r="Q22" s="2408"/>
      <c r="R22" s="2386" t="str">
        <f>IF(Q11="","",IF(Q22&lt;&gt;"","","Input assumed:"))</f>
        <v>Input assumed:</v>
      </c>
      <c r="S22" s="2361" t="str">
        <f>IF(R22="","",'Parameter tables'!G95)</f>
        <v>c</v>
      </c>
      <c r="T22" s="2331" t="str">
        <f>IF(AND(Q11="",Q22&lt;&gt;""),"←remove",IF(OR(Q22="",Q22="a",Q22="b",Q22="c",Q22="d",Q22="e",Q22="f",Q22="g"),"","check input"))</f>
        <v/>
      </c>
      <c r="U22" s="1456"/>
      <c r="V22" s="1480"/>
      <c r="W22" s="1456"/>
      <c r="X22" s="1699"/>
      <c r="Y22" s="306"/>
      <c r="Z22" s="307" t="str">
        <f>IF(Z21="","",Z21/1000)</f>
        <v/>
      </c>
      <c r="AA22" s="297" t="s">
        <v>761</v>
      </c>
      <c r="AB22" s="2309" t="str">
        <f>IF(Z23="","",Z25*Z23^-3)</f>
        <v/>
      </c>
      <c r="AC22" s="308" t="str">
        <f>IF(AB22="","",IF(1000*AB22&gt;100,"",1000*AB22))</f>
        <v/>
      </c>
      <c r="AD22" s="2354" t="s">
        <v>766</v>
      </c>
      <c r="AE22" s="2355"/>
      <c r="AF22" s="2356"/>
      <c r="AG22" s="1424"/>
      <c r="AH22" s="1698"/>
    </row>
    <row r="23" spans="1:41" ht="9" customHeight="1">
      <c r="A23" s="2966"/>
      <c r="B23" s="2962"/>
      <c r="C23" s="2491"/>
      <c r="D23" s="2492"/>
      <c r="E23" s="2494"/>
      <c r="F23" s="1380" t="s">
        <v>16</v>
      </c>
      <c r="G23" s="1380" t="s">
        <v>17</v>
      </c>
      <c r="H23" s="1734" t="s">
        <v>20</v>
      </c>
      <c r="I23" s="1380" t="s">
        <v>22</v>
      </c>
      <c r="J23" s="1381" t="s">
        <v>24</v>
      </c>
      <c r="K23" s="1382" t="s">
        <v>26</v>
      </c>
      <c r="L23" s="1383" t="s">
        <v>28</v>
      </c>
      <c r="M23" s="2865" t="s">
        <v>816</v>
      </c>
      <c r="N23" s="2865"/>
      <c r="O23" s="311"/>
      <c r="P23" s="2421"/>
      <c r="Q23" s="2897"/>
      <c r="R23" s="2419"/>
      <c r="S23" s="2418"/>
      <c r="T23" s="2331"/>
      <c r="U23" s="1456"/>
      <c r="V23" s="1480"/>
      <c r="W23" s="1456"/>
      <c r="X23" s="2335" t="s">
        <v>1033</v>
      </c>
      <c r="Y23" s="2336"/>
      <c r="Z23" s="2903"/>
      <c r="AA23" s="312" t="s">
        <v>762</v>
      </c>
      <c r="AB23" s="313" t="str">
        <f>IF(Z21="","",10*(Z21/Z25)^-0.333)</f>
        <v/>
      </c>
      <c r="AC23" s="314" t="s">
        <v>949</v>
      </c>
      <c r="AD23" s="2354" t="s">
        <v>767</v>
      </c>
      <c r="AE23" s="2355"/>
      <c r="AF23" s="2356"/>
      <c r="AG23" s="1424"/>
      <c r="AH23" s="1698"/>
      <c r="AJ23" s="315"/>
      <c r="AK23" s="315"/>
      <c r="AL23" s="315"/>
      <c r="AM23" s="315"/>
      <c r="AN23" s="315"/>
      <c r="AO23" s="315"/>
    </row>
    <row r="24" spans="1:41" ht="8.25" customHeight="1">
      <c r="A24" s="2966"/>
      <c r="B24" s="2962"/>
      <c r="C24" s="2999" t="s">
        <v>442</v>
      </c>
      <c r="D24" s="3000"/>
      <c r="E24" s="2425" t="s">
        <v>443</v>
      </c>
      <c r="F24" s="233" t="s">
        <v>757</v>
      </c>
      <c r="G24" s="233" t="s">
        <v>361</v>
      </c>
      <c r="H24" s="233" t="s">
        <v>388</v>
      </c>
      <c r="I24" s="233" t="s">
        <v>360</v>
      </c>
      <c r="J24" s="233" t="s">
        <v>359</v>
      </c>
      <c r="K24" s="316" t="s">
        <v>358</v>
      </c>
      <c r="L24" s="1257"/>
      <c r="M24" s="2865"/>
      <c r="N24" s="2865"/>
      <c r="O24" s="317"/>
      <c r="P24" s="2423" t="s">
        <v>67</v>
      </c>
      <c r="Q24" s="2412"/>
      <c r="R24" s="2415" t="str">
        <f>IF(Q11="","",IF(Q24&lt;&gt;"","","Input assumed:"))</f>
        <v>Input assumed:</v>
      </c>
      <c r="S24" s="2417" t="str">
        <f>IF(R24="","",'Parameter tables'!G104)</f>
        <v>d</v>
      </c>
      <c r="T24" s="2331" t="str">
        <f>IF(AND(Q11="",Q24&lt;&gt;""),"←remove",IF(OR(Q24="",Q24="a",Q24="b",Q24="c",Q24="d",Q24="e",Q24="f"),"","check input"))</f>
        <v/>
      </c>
      <c r="U24" s="1456"/>
      <c r="V24" s="1480"/>
      <c r="W24" s="1456"/>
      <c r="X24" s="2337"/>
      <c r="Y24" s="2338"/>
      <c r="Z24" s="2904"/>
      <c r="AA24" s="318" t="s">
        <v>763</v>
      </c>
      <c r="AB24" s="319" t="str">
        <f>IF(Z19="","",44-Z19/2.5)</f>
        <v/>
      </c>
      <c r="AC24" s="320" t="s">
        <v>949</v>
      </c>
      <c r="AD24" s="309" t="s">
        <v>733</v>
      </c>
      <c r="AE24" s="1368"/>
      <c r="AF24" s="1420" t="str">
        <f>IF(AB24&lt;&gt;""," Calculation of Jv from RQD can be unaccurate","")</f>
        <v/>
      </c>
      <c r="AG24" s="1424"/>
      <c r="AH24" s="1698"/>
    </row>
    <row r="25" spans="1:41" ht="9" customHeight="1">
      <c r="A25" s="2966"/>
      <c r="B25" s="2963"/>
      <c r="C25" s="3001"/>
      <c r="D25" s="3002"/>
      <c r="E25" s="2411"/>
      <c r="F25" s="1374" t="s">
        <v>16</v>
      </c>
      <c r="G25" s="1374" t="s">
        <v>17</v>
      </c>
      <c r="H25" s="1374" t="s">
        <v>20</v>
      </c>
      <c r="I25" s="1374" t="s">
        <v>22</v>
      </c>
      <c r="J25" s="1374" t="s">
        <v>24</v>
      </c>
      <c r="K25" s="1378" t="s">
        <v>26</v>
      </c>
      <c r="L25" s="321"/>
      <c r="M25" s="322"/>
      <c r="N25" s="323"/>
      <c r="O25" s="324"/>
      <c r="P25" s="2424"/>
      <c r="Q25" s="2409"/>
      <c r="R25" s="2416"/>
      <c r="S25" s="2362"/>
      <c r="T25" s="2331"/>
      <c r="U25" s="1456"/>
      <c r="V25" s="1480"/>
      <c r="W25" s="1456"/>
      <c r="X25" s="3016" t="s">
        <v>1034</v>
      </c>
      <c r="Y25" s="3017"/>
      <c r="Z25" s="1754"/>
      <c r="AA25" s="1371" t="str">
        <f>IF(AND(Z25&lt;&gt;"",Z25&lt;27),"value must be &gt;26, see classification below",IF(Z25&lt;&gt;"","",IF(OR(Z23&lt;&gt;"",Z21&lt;&gt;"",Z19&lt;&gt;""),"← value must be given  (use a value of 36 if you do not know the block dimension)","")))</f>
        <v/>
      </c>
      <c r="AB25" s="303"/>
      <c r="AC25" s="1372"/>
      <c r="AD25" s="66"/>
      <c r="AE25" s="231"/>
      <c r="AF25" s="634"/>
      <c r="AG25" s="1425"/>
      <c r="AH25" s="1700"/>
    </row>
    <row r="26" spans="1:41" ht="8.25" customHeight="1">
      <c r="A26" s="2966"/>
      <c r="B26" s="2480" t="s">
        <v>817</v>
      </c>
      <c r="C26" s="2888" t="s">
        <v>676</v>
      </c>
      <c r="D26" s="2889"/>
      <c r="E26" s="327"/>
      <c r="F26" s="234" t="s">
        <v>362</v>
      </c>
      <c r="G26" s="234" t="s">
        <v>363</v>
      </c>
      <c r="H26" s="234" t="s">
        <v>778</v>
      </c>
      <c r="I26" s="328" t="s">
        <v>779</v>
      </c>
      <c r="J26" s="234" t="s">
        <v>378</v>
      </c>
      <c r="K26" s="250" t="s">
        <v>364</v>
      </c>
      <c r="L26" s="329"/>
      <c r="M26" s="330"/>
      <c r="N26" s="331"/>
      <c r="O26" s="332"/>
      <c r="P26" s="2420" t="s">
        <v>672</v>
      </c>
      <c r="Q26" s="2408"/>
      <c r="R26" s="2386" t="str">
        <f>IF(Q11="","",IF(Q26&lt;&gt;"","","Input assumed:"))</f>
        <v>Input assumed:</v>
      </c>
      <c r="S26" s="2361" t="str">
        <f>IF(R26="","",'Parameter tables'!G110)</f>
        <v>b</v>
      </c>
      <c r="T26" s="292"/>
      <c r="U26" s="1456"/>
      <c r="V26" s="1480"/>
      <c r="W26" s="1456"/>
      <c r="X26" s="1701" t="s">
        <v>1074</v>
      </c>
      <c r="Y26" s="1702"/>
      <c r="Z26" s="1702"/>
      <c r="AA26" s="2324" t="s">
        <v>1035</v>
      </c>
      <c r="AB26" s="2324"/>
      <c r="AC26" s="2326" t="s">
        <v>728</v>
      </c>
      <c r="AD26" s="1369" t="s">
        <v>1073</v>
      </c>
      <c r="AF26" s="634"/>
      <c r="AG26" s="1425"/>
      <c r="AH26" s="1700"/>
    </row>
    <row r="27" spans="1:41" ht="9" customHeight="1">
      <c r="A27" s="2966"/>
      <c r="B27" s="2962"/>
      <c r="C27" s="2890"/>
      <c r="D27" s="2891"/>
      <c r="E27" s="335"/>
      <c r="F27" s="1384" t="s">
        <v>16</v>
      </c>
      <c r="G27" s="1380" t="s">
        <v>17</v>
      </c>
      <c r="H27" s="1380" t="s">
        <v>20</v>
      </c>
      <c r="I27" s="1380" t="s">
        <v>22</v>
      </c>
      <c r="J27" s="1385" t="s">
        <v>24</v>
      </c>
      <c r="K27" s="1382" t="s">
        <v>26</v>
      </c>
      <c r="L27" s="336"/>
      <c r="M27" s="337"/>
      <c r="N27" s="338"/>
      <c r="O27" s="339"/>
      <c r="P27" s="2423"/>
      <c r="Q27" s="2422"/>
      <c r="R27" s="3018"/>
      <c r="S27" s="3019"/>
      <c r="T27" s="2331" t="str">
        <f>IF(AND(Q11="",Q26&lt;&gt;""),"←remove",IF(OR(Q26="",Q26="a",Q26="b",Q26="c",Q26="d",Q26="e",Q26="f",Q26="h",Q26="i",Q26="j",Q26="k",Q26="l",Q26="m",Q26="n",Q26="o"),"","check input"))</f>
        <v/>
      </c>
      <c r="U27" s="1456"/>
      <c r="V27" s="1480"/>
      <c r="W27" s="1456"/>
      <c r="X27" s="1703"/>
      <c r="Y27" s="1702"/>
      <c r="Z27" s="1702"/>
      <c r="AA27" s="2325"/>
      <c r="AB27" s="2325"/>
      <c r="AC27" s="2327"/>
      <c r="AD27" s="1370"/>
      <c r="AE27" s="325"/>
      <c r="AF27" s="633"/>
      <c r="AG27" s="1425"/>
      <c r="AH27" s="1700"/>
      <c r="AO27" s="1280"/>
    </row>
    <row r="28" spans="1:41" ht="8.25" customHeight="1">
      <c r="A28" s="2966"/>
      <c r="B28" s="2962"/>
      <c r="C28" s="2483" t="s">
        <v>664</v>
      </c>
      <c r="D28" s="2484"/>
      <c r="E28" s="340" t="s">
        <v>346</v>
      </c>
      <c r="F28" s="341" t="s">
        <v>389</v>
      </c>
      <c r="G28" s="342" t="s">
        <v>367</v>
      </c>
      <c r="H28" s="342" t="s">
        <v>366</v>
      </c>
      <c r="I28" s="343" t="s">
        <v>365</v>
      </c>
      <c r="J28" s="340" t="s">
        <v>346</v>
      </c>
      <c r="K28" s="344" t="s">
        <v>389</v>
      </c>
      <c r="L28" s="233" t="s">
        <v>367</v>
      </c>
      <c r="M28" s="345" t="s">
        <v>366</v>
      </c>
      <c r="N28" s="2495" t="s">
        <v>365</v>
      </c>
      <c r="O28" s="2496"/>
      <c r="P28" s="2423"/>
      <c r="Q28" s="2422"/>
      <c r="R28" s="3018"/>
      <c r="S28" s="3019"/>
      <c r="T28" s="2331"/>
      <c r="U28" s="1456"/>
      <c r="V28" s="1480"/>
      <c r="W28" s="1456"/>
      <c r="X28" s="2347" t="s">
        <v>952</v>
      </c>
      <c r="Y28" s="2348"/>
      <c r="Z28" s="2348"/>
      <c r="AA28" s="1757" t="s">
        <v>945</v>
      </c>
      <c r="AB28" s="1756"/>
      <c r="AC28" s="346" t="s">
        <v>947</v>
      </c>
      <c r="AD28" s="1704" t="str">
        <f>IF(OR(AB28="",AB29=""),"",20+7*AB29/AB28)</f>
        <v/>
      </c>
      <c r="AF28" s="634"/>
      <c r="AG28" s="1425"/>
      <c r="AH28" s="1700"/>
    </row>
    <row r="29" spans="1:41" ht="9" customHeight="1">
      <c r="A29" s="2966"/>
      <c r="B29" s="2963"/>
      <c r="C29" s="2485"/>
      <c r="D29" s="2486"/>
      <c r="E29" s="347" t="s">
        <v>719</v>
      </c>
      <c r="F29" s="1373" t="s">
        <v>52</v>
      </c>
      <c r="G29" s="1374" t="s">
        <v>212</v>
      </c>
      <c r="H29" s="1376" t="s">
        <v>210</v>
      </c>
      <c r="I29" s="1374" t="s">
        <v>214</v>
      </c>
      <c r="J29" s="347" t="s">
        <v>718</v>
      </c>
      <c r="K29" s="1386" t="s">
        <v>54</v>
      </c>
      <c r="L29" s="1374" t="s">
        <v>213</v>
      </c>
      <c r="M29" s="1378" t="s">
        <v>128</v>
      </c>
      <c r="N29" s="2374" t="s">
        <v>211</v>
      </c>
      <c r="O29" s="2375"/>
      <c r="P29" s="2424"/>
      <c r="Q29" s="2409"/>
      <c r="R29" s="2387"/>
      <c r="S29" s="2362"/>
      <c r="T29" s="292"/>
      <c r="U29" s="1477"/>
      <c r="V29" s="1481"/>
      <c r="W29" s="1477"/>
      <c r="X29" s="2349"/>
      <c r="Y29" s="2350"/>
      <c r="Z29" s="2350"/>
      <c r="AA29" s="1758" t="s">
        <v>946</v>
      </c>
      <c r="AB29" s="1756"/>
      <c r="AC29" s="1421" t="str">
        <f>IF(AD28="","",IF(AD28&lt;30,'Parameter tables'!A68,IF(AD28&lt;38,'Parameter tables'!A69,IF(AD28&lt;60,'Parameter tables'!A70,IF(AD28&lt;150,'Parameter tables'!A71,'Parameter tables'!A72)))))</f>
        <v/>
      </c>
      <c r="AD29" s="1421" t="str">
        <f>IF(AD28="","","block")</f>
        <v/>
      </c>
      <c r="AF29" s="634"/>
      <c r="AG29" s="1425"/>
      <c r="AH29" s="1700"/>
      <c r="AO29" s="1281"/>
    </row>
    <row r="30" spans="1:41" ht="8.25" customHeight="1">
      <c r="A30" s="2966"/>
      <c r="B30" s="3031" t="s">
        <v>1243</v>
      </c>
      <c r="C30" s="2487" t="s">
        <v>677</v>
      </c>
      <c r="D30" s="2487"/>
      <c r="E30" s="2426" t="s">
        <v>441</v>
      </c>
      <c r="F30" s="233" t="s">
        <v>369</v>
      </c>
      <c r="G30" s="233" t="s">
        <v>368</v>
      </c>
      <c r="H30" s="233" t="s">
        <v>611</v>
      </c>
      <c r="I30" s="233" t="s">
        <v>370</v>
      </c>
      <c r="J30" s="233" t="s">
        <v>379</v>
      </c>
      <c r="K30" s="250" t="s">
        <v>371</v>
      </c>
      <c r="L30" s="302" t="s">
        <v>372</v>
      </c>
      <c r="N30" s="348" t="s">
        <v>595</v>
      </c>
      <c r="O30" s="349"/>
      <c r="P30" s="2420" t="s">
        <v>81</v>
      </c>
      <c r="Q30" s="2408"/>
      <c r="R30" s="2386" t="str">
        <f>IF(Q11="","",IF(Q30&lt;&gt;"","","Input assumed:"))</f>
        <v>Input assumed:</v>
      </c>
      <c r="S30" s="2361" t="str">
        <f>IF(R30="","",'Parameter tables'!G128)</f>
        <v>e</v>
      </c>
      <c r="T30" s="2331" t="str">
        <f>IF(AND(Q11="",Q30&lt;&gt;""),"←remove",IF(OR(Q30="",Q30="a",Q30="b",Q30="c",Q30="d",Q30="e",Q30="f",Q30="g"),"","check input"))</f>
        <v/>
      </c>
      <c r="U30" s="1456"/>
      <c r="V30" s="1480"/>
      <c r="W30" s="1456"/>
      <c r="X30" s="3020" t="s">
        <v>1030</v>
      </c>
      <c r="Y30" s="3021"/>
      <c r="Z30" s="3021"/>
      <c r="AA30" s="3021"/>
      <c r="AB30" s="3021"/>
      <c r="AC30" s="1250"/>
      <c r="AD30" s="1250"/>
      <c r="AE30" s="1705"/>
      <c r="AF30" s="634"/>
      <c r="AG30" s="1425"/>
      <c r="AH30" s="1700"/>
    </row>
    <row r="31" spans="1:41" ht="9" customHeight="1">
      <c r="A31" s="2966"/>
      <c r="B31" s="3032"/>
      <c r="C31" s="2488"/>
      <c r="D31" s="2488"/>
      <c r="E31" s="2427"/>
      <c r="F31" s="1374" t="s">
        <v>16</v>
      </c>
      <c r="G31" s="1374" t="s">
        <v>17</v>
      </c>
      <c r="H31" s="1374" t="s">
        <v>20</v>
      </c>
      <c r="I31" s="1374" t="s">
        <v>22</v>
      </c>
      <c r="J31" s="1374" t="s">
        <v>24</v>
      </c>
      <c r="K31" s="1378" t="s">
        <v>26</v>
      </c>
      <c r="L31" s="1387" t="s">
        <v>28</v>
      </c>
      <c r="M31" s="2428" t="s">
        <v>594</v>
      </c>
      <c r="N31" s="2429"/>
      <c r="O31" s="2430"/>
      <c r="P31" s="2424"/>
      <c r="Q31" s="2409"/>
      <c r="R31" s="2387"/>
      <c r="S31" s="2362"/>
      <c r="T31" s="2331"/>
      <c r="U31" s="1456"/>
      <c r="V31" s="1480"/>
      <c r="W31" s="1456"/>
      <c r="X31" s="3022"/>
      <c r="Y31" s="3023"/>
      <c r="Z31" s="3023"/>
      <c r="AA31" s="3023"/>
      <c r="AB31" s="3023"/>
      <c r="AC31" s="1251"/>
      <c r="AD31" s="1251"/>
      <c r="AE31" s="1251"/>
      <c r="AH31" s="1700"/>
    </row>
    <row r="32" spans="1:41" ht="8.25" customHeight="1">
      <c r="A32" s="2966"/>
      <c r="B32" s="3032"/>
      <c r="C32" s="2487" t="s">
        <v>678</v>
      </c>
      <c r="D32" s="2487"/>
      <c r="E32" s="2410" t="s">
        <v>451</v>
      </c>
      <c r="F32" s="234" t="s">
        <v>392</v>
      </c>
      <c r="G32" s="234" t="s">
        <v>596</v>
      </c>
      <c r="H32" s="234" t="s">
        <v>597</v>
      </c>
      <c r="I32" s="234" t="s">
        <v>598</v>
      </c>
      <c r="J32" s="234" t="s">
        <v>599</v>
      </c>
      <c r="K32" s="350"/>
      <c r="L32" s="351"/>
      <c r="N32" s="352"/>
      <c r="O32" s="353"/>
      <c r="P32" s="2420" t="s">
        <v>326</v>
      </c>
      <c r="Q32" s="2408"/>
      <c r="R32" s="2386" t="str">
        <f>IF(Q11="","",IF(Q32&lt;&gt;"","","Input assumed:"))</f>
        <v>Input assumed:</v>
      </c>
      <c r="S32" s="2361" t="str">
        <f>IF(R32="","",'Parameter tables'!G134)</f>
        <v>b</v>
      </c>
      <c r="T32" s="2331" t="str">
        <f>IF(AND(Q11="",Q32&lt;&gt;""),"←remove",IF(OR(Q32="",Q32="a",Q32="b",Q32="c",Q32="d",Q32="e"),"","check input"))</f>
        <v/>
      </c>
      <c r="U32" s="1456"/>
      <c r="V32" s="1480"/>
      <c r="W32" s="1456"/>
      <c r="X32" s="1706" t="s">
        <v>954</v>
      </c>
      <c r="Z32" s="73"/>
      <c r="AA32" s="315"/>
      <c r="AB32" s="315"/>
      <c r="AC32" s="315"/>
      <c r="AD32" s="315"/>
      <c r="AE32" s="1427"/>
      <c r="AH32" s="1700"/>
    </row>
    <row r="33" spans="1:36" ht="9" customHeight="1" thickBot="1">
      <c r="A33" s="2966"/>
      <c r="B33" s="3033"/>
      <c r="C33" s="2488"/>
      <c r="D33" s="2488"/>
      <c r="E33" s="2411"/>
      <c r="F33" s="243" t="s">
        <v>16</v>
      </c>
      <c r="G33" s="243" t="s">
        <v>17</v>
      </c>
      <c r="H33" s="283" t="s">
        <v>20</v>
      </c>
      <c r="I33" s="243" t="s">
        <v>22</v>
      </c>
      <c r="J33" s="243" t="s">
        <v>24</v>
      </c>
      <c r="K33" s="355"/>
      <c r="L33" s="356"/>
      <c r="M33" s="357"/>
      <c r="N33" s="357"/>
      <c r="O33" s="358"/>
      <c r="P33" s="2424"/>
      <c r="Q33" s="2409"/>
      <c r="R33" s="2387"/>
      <c r="S33" s="2362"/>
      <c r="T33" s="2331"/>
      <c r="U33" s="1480"/>
      <c r="V33" s="1480"/>
      <c r="W33" s="1456"/>
      <c r="X33" s="1707"/>
      <c r="Y33" s="1708"/>
      <c r="Z33" s="1709"/>
      <c r="AA33" s="1708"/>
      <c r="AB33" s="1708"/>
      <c r="AC33" s="1710"/>
      <c r="AD33" s="1711" t="s">
        <v>953</v>
      </c>
      <c r="AE33" s="1759" t="s">
        <v>728</v>
      </c>
      <c r="AF33" s="494"/>
      <c r="AG33" s="494"/>
      <c r="AH33" s="1712"/>
    </row>
    <row r="34" spans="1:36" ht="8.25" customHeight="1" thickBot="1">
      <c r="A34" s="2966"/>
      <c r="B34" s="2540" t="s">
        <v>811</v>
      </c>
      <c r="C34" s="2540"/>
      <c r="D34" s="2540"/>
      <c r="E34" s="2420" t="s">
        <v>698</v>
      </c>
      <c r="F34" s="361" t="s">
        <v>675</v>
      </c>
      <c r="G34" s="1258" t="s">
        <v>437</v>
      </c>
      <c r="H34" s="233" t="s">
        <v>377</v>
      </c>
      <c r="I34" s="233" t="s">
        <v>376</v>
      </c>
      <c r="J34" s="234" t="s">
        <v>375</v>
      </c>
      <c r="K34" s="249" t="s">
        <v>439</v>
      </c>
      <c r="L34" s="234" t="s">
        <v>603</v>
      </c>
      <c r="M34" s="2876" t="str">
        <f>IF(OR(Q34="f",Q34="g"),"GW is outside RMi limit","")</f>
        <v/>
      </c>
      <c r="N34" s="2877"/>
      <c r="O34" s="2878"/>
      <c r="P34" s="2995" t="s">
        <v>699</v>
      </c>
      <c r="Q34" s="2408"/>
      <c r="R34" s="2386" t="str">
        <f>IF(Q11="","",IF(Q34&lt;&gt;"","","Input assumed:"))</f>
        <v>Input assumed:</v>
      </c>
      <c r="S34" s="2839" t="str">
        <f>IF(R34="","",'Parameter tables'!G142)</f>
        <v>b</v>
      </c>
      <c r="T34" s="2838" t="str">
        <f>IF(AND(Q11="",Q34&lt;&gt;""),"←remove",IF(OR(Q34="",Q34="a",Q34="b",Q34="c",Q34="d",Q34="e",Q34="f",Q34="g"),"","check input"))</f>
        <v/>
      </c>
      <c r="U34" s="1456"/>
      <c r="V34" s="1480"/>
      <c r="W34" s="1456"/>
    </row>
    <row r="35" spans="1:36" ht="9" customHeight="1">
      <c r="A35" s="2966"/>
      <c r="B35" s="2541"/>
      <c r="C35" s="2541"/>
      <c r="D35" s="2541"/>
      <c r="E35" s="2424"/>
      <c r="F35" s="1740" t="s">
        <v>16</v>
      </c>
      <c r="G35" s="244" t="s">
        <v>17</v>
      </c>
      <c r="H35" s="244" t="s">
        <v>20</v>
      </c>
      <c r="I35" s="244" t="s">
        <v>22</v>
      </c>
      <c r="J35" s="244" t="s">
        <v>24</v>
      </c>
      <c r="K35" s="284" t="s">
        <v>26</v>
      </c>
      <c r="L35" s="362" t="s">
        <v>28</v>
      </c>
      <c r="M35" s="2879"/>
      <c r="N35" s="2880"/>
      <c r="O35" s="2881"/>
      <c r="P35" s="2996"/>
      <c r="Q35" s="2409"/>
      <c r="R35" s="2387"/>
      <c r="S35" s="2840"/>
      <c r="T35" s="2838"/>
      <c r="U35" s="1456"/>
      <c r="V35" s="1480"/>
      <c r="W35" s="1456"/>
      <c r="X35" s="2898" t="s">
        <v>883</v>
      </c>
      <c r="Y35" s="2899"/>
      <c r="Z35" s="2899"/>
      <c r="AA35" s="2899"/>
      <c r="AB35" s="2899"/>
      <c r="AC35" s="3006" t="s">
        <v>884</v>
      </c>
      <c r="AD35" s="3006"/>
      <c r="AE35" s="3007"/>
      <c r="AF35" s="113"/>
      <c r="AG35" s="92"/>
      <c r="AH35" s="92"/>
      <c r="AI35" s="333"/>
      <c r="AJ35" s="333"/>
    </row>
    <row r="36" spans="1:36" ht="8.25" customHeight="1">
      <c r="A36" s="2966"/>
      <c r="B36" s="2964" t="s">
        <v>1164</v>
      </c>
      <c r="C36" s="2964"/>
      <c r="D36" s="2964"/>
      <c r="E36" s="2426" t="s">
        <v>707</v>
      </c>
      <c r="F36" s="234" t="s">
        <v>465</v>
      </c>
      <c r="G36" s="234" t="s">
        <v>386</v>
      </c>
      <c r="H36" s="234" t="s">
        <v>686</v>
      </c>
      <c r="I36" s="250" t="s">
        <v>387</v>
      </c>
      <c r="J36" s="1327" t="s">
        <v>562</v>
      </c>
      <c r="K36" s="234" t="s">
        <v>384</v>
      </c>
      <c r="L36" s="250" t="s">
        <v>561</v>
      </c>
      <c r="M36" s="1329" t="s">
        <v>454</v>
      </c>
      <c r="N36" s="2538" t="s">
        <v>453</v>
      </c>
      <c r="O36" s="2539"/>
      <c r="P36" s="2997" t="s">
        <v>704</v>
      </c>
      <c r="Q36" s="2408"/>
      <c r="R36" s="238" t="str">
        <f>IF(Q11="","",IF(Q36&lt;&gt;"","","Input assumed:"))</f>
        <v>Input assumed:</v>
      </c>
      <c r="S36" s="1406" t="str">
        <f>IF(R36="","",'Parameter tables'!G154)</f>
        <v>c</v>
      </c>
      <c r="T36" s="2838" t="str">
        <f>IF(AND(Q11="",Q36&lt;&gt;""),"←remove",IF(OR(Q36="",Q36="a",Q36="b",Q36="c",Q36="d",Q36="e",Q36="f",Q36="g",Q36="h",Q36="i"),"","check input"))</f>
        <v/>
      </c>
      <c r="V36" s="379"/>
      <c r="X36" s="2900"/>
      <c r="Y36" s="2901"/>
      <c r="Z36" s="2901"/>
      <c r="AA36" s="2901"/>
      <c r="AB36" s="2901"/>
      <c r="AC36" s="3008"/>
      <c r="AD36" s="3008"/>
      <c r="AE36" s="3009"/>
      <c r="AF36" s="113"/>
      <c r="AG36" s="364"/>
      <c r="AH36" s="364"/>
      <c r="AI36" s="364"/>
      <c r="AJ36" s="364"/>
    </row>
    <row r="37" spans="1:36" ht="9.75" customHeight="1" thickBot="1">
      <c r="A37" s="2967"/>
      <c r="B37" s="2965"/>
      <c r="C37" s="2965"/>
      <c r="D37" s="2965"/>
      <c r="E37" s="2542"/>
      <c r="F37" s="428" t="s">
        <v>16</v>
      </c>
      <c r="G37" s="428" t="s">
        <v>17</v>
      </c>
      <c r="H37" s="428" t="s">
        <v>20</v>
      </c>
      <c r="I37" s="429" t="s">
        <v>22</v>
      </c>
      <c r="J37" s="1328" t="s">
        <v>24</v>
      </c>
      <c r="K37" s="428" t="s">
        <v>26</v>
      </c>
      <c r="L37" s="1326" t="s">
        <v>28</v>
      </c>
      <c r="M37" s="1328" t="s">
        <v>52</v>
      </c>
      <c r="N37" s="2859" t="s">
        <v>54</v>
      </c>
      <c r="O37" s="2860"/>
      <c r="P37" s="2998"/>
      <c r="Q37" s="2902"/>
      <c r="R37" s="2413" t="str">
        <f>IF(Q36="","",IF(AND(Q38&lt;&gt;"",Q36="e"),"Remove one SRF input",IF(AND(Q38&lt;&gt;"",Q36="f"),"Remove one SRF input",IF(AND(Q38&lt;&gt;"",Q36="g"),"Remove one SRF input",IF(AND(Q38&lt;&gt;"",Q36="h"),"Remove one SRF input",IF(AND(Q38&lt;&gt;"",Q36="i"),"Remove one SRF input",""))))))</f>
        <v/>
      </c>
      <c r="S37" s="2414"/>
      <c r="T37" s="2838"/>
      <c r="V37" s="379"/>
      <c r="X37" s="1713"/>
      <c r="Y37" s="365" t="s">
        <v>301</v>
      </c>
      <c r="Z37" s="1457" t="str">
        <f>IF(Z38&gt;90,"use strike value ≤ 90",IF(Z39&gt;90,"use dip &lt; 90",""))</f>
        <v/>
      </c>
      <c r="AB37" s="366" t="s">
        <v>290</v>
      </c>
      <c r="AD37" s="367"/>
      <c r="AE37" s="1714"/>
      <c r="AG37" s="364"/>
      <c r="AH37" s="364"/>
      <c r="AI37" s="368"/>
      <c r="AJ37" s="368"/>
    </row>
    <row r="38" spans="1:36" ht="12" customHeight="1" thickTop="1">
      <c r="A38" s="2968" t="s">
        <v>705</v>
      </c>
      <c r="B38" s="74"/>
      <c r="C38" s="76"/>
      <c r="D38" s="369"/>
      <c r="E38" s="370"/>
      <c r="F38" s="371" t="s">
        <v>660</v>
      </c>
      <c r="G38" s="1509" t="s">
        <v>1129</v>
      </c>
      <c r="H38" s="372"/>
      <c r="I38" s="373"/>
      <c r="J38" s="373"/>
      <c r="K38" s="374"/>
      <c r="L38" s="375"/>
      <c r="M38" s="363"/>
      <c r="N38" s="376"/>
      <c r="O38" s="1319" t="str">
        <f>IF(Q38="","This input is required for weak zone calculations →","")</f>
        <v/>
      </c>
      <c r="P38" s="377" t="s">
        <v>804</v>
      </c>
      <c r="Q38" s="204" t="s">
        <v>28</v>
      </c>
      <c r="R38" s="2853" t="str">
        <f>IF(Q38="f","Assumed zone composition",IF(Q38="g","Clayfree, crushed zone",IF(Q38="h","Crushed and seamy zone",IF(Q38="i","Zone with soft or weak filling",""))))</f>
        <v>Clayfree, crushed zone</v>
      </c>
      <c r="S38" s="2854"/>
      <c r="T38" s="378" t="str">
        <f>IF(AND(Q38="",Q11=""),"← input",IF(AND(Q38="",Q11&lt;&gt;""),"",IF(OR(Q38="f",Q38="g",Q38="h",Q38="i"),"","check input")))</f>
        <v/>
      </c>
      <c r="U38" s="1457"/>
      <c r="V38" s="1482"/>
      <c r="W38" s="1457"/>
      <c r="X38" s="1715"/>
      <c r="Y38" s="80" t="s">
        <v>782</v>
      </c>
      <c r="Z38" s="167">
        <v>45</v>
      </c>
      <c r="AA38" s="1716"/>
      <c r="AB38" s="380" t="str">
        <f>IF(Z38="","",IF(Z39&gt;'Parameter tables'!$AF$176,'Parameter tables'!$O$175,IF(Z39&gt;='Parameter tables'!$AD$177,'Parameter tables'!$O$177,IF(Z39&gt;='Parameter tables'!$AD$178,'Parameter tables'!$O$178,IF(Z39&gt;='Parameter tables'!$AD$180,'Parameter tables'!$O$180,'Parameter tables'!$O$181)))))</f>
        <v>Favourable</v>
      </c>
      <c r="AC38" s="84" t="s">
        <v>209</v>
      </c>
      <c r="AE38" s="1700"/>
      <c r="AG38" s="368"/>
      <c r="AH38" s="368"/>
      <c r="AI38" s="368"/>
      <c r="AJ38" s="368"/>
    </row>
    <row r="39" spans="1:36" ht="9.9499999999999993" customHeight="1">
      <c r="A39" s="2968"/>
      <c r="B39" s="74"/>
      <c r="C39" s="76"/>
      <c r="D39" s="381"/>
      <c r="E39" s="370"/>
      <c r="F39" s="382"/>
      <c r="G39" s="1510" t="s">
        <v>1104</v>
      </c>
      <c r="H39" s="383"/>
      <c r="I39" s="384"/>
      <c r="J39" s="282"/>
      <c r="K39" s="242"/>
      <c r="L39" s="242"/>
      <c r="N39" s="1542" t="str">
        <f>IF(AND(Q38&lt;&gt;"",Q39=""),"For help, see info on strength","")</f>
        <v>For help, see info on strength</v>
      </c>
      <c r="O39" s="1541" t="str">
        <f>IF(N39&lt;&gt;"","here","")</f>
        <v>here</v>
      </c>
      <c r="P39" s="385" t="s">
        <v>703</v>
      </c>
      <c r="Q39" s="1693"/>
      <c r="R39" s="386" t="str">
        <f>IF(Q38="","",IF(Q39="","Input assumed:",""))</f>
        <v>Input assumed:</v>
      </c>
      <c r="S39" s="1297">
        <f>IF(R39="","",IF(Q39&lt;&gt;"",Q39,IF(Q38="f",'Parameter tables'!S167,IF(Q38="g",'Parameter tables'!S168,IF(Q38="h",'Parameter tables'!S169,IF(Q38="i",'Parameter tables'!S170,""))))))</f>
        <v>75</v>
      </c>
      <c r="T39" s="396" t="str">
        <f>IF(AND(Q39&lt;&gt;"",Q38=""),"←remove",IF(OR(Q39="a",Q39="b",Q39="c",Q39="d",Q39="e"),"check input",""))</f>
        <v/>
      </c>
      <c r="V39" s="379"/>
      <c r="X39" s="1717"/>
      <c r="Y39" s="80" t="s">
        <v>783</v>
      </c>
      <c r="Z39" s="167">
        <v>45</v>
      </c>
      <c r="AB39" s="387" t="str">
        <f>IF(Z39="","",IF(Z39&lt;'Parameter tables'!V175,'Parameter tables'!O175,IF(Z38&gt;'Parameter tables'!$S$176,'Parameter tables'!$O$175,IF(AND(Z38&lt;'Parameter tables'!$S$177,Z39&lt;'Parameter tables'!$V$177,Z39&gt;'Parameter tables'!$T$177),'Parameter tables'!$O$177,IF(AND(Z38&lt;'Parameter tables'!$S$178,Z39&lt;='Parameter tables'!$V$178,Z39&gt;='Parameter tables'!$T$178),'Parameter tables'!$O$178,IF(AND(Z38&lt;='Parameter tables'!$S$179,Z38&gt;='Parameter tables'!$Q$179,Z39&lt;'Parameter tables'!$V$179),'Parameter tables'!$O$178,IF(AND(Z38&lt;='Parameter tables'!$S$180,Z38&gt;='Parameter tables'!$Q$180,Z39&lt;='Parameter tables'!$V$180,Z39&gt;='Parameter tables'!$T$180),'Parameter tables'!$O$180,IF(AND(Z38&lt;'Parameter tables'!$S$181,Z39&lt;='Parameter tables'!$V$181,Z39&gt;='Parameter tables'!$T$181),'Parameter tables'!$O$181,"?"))))))))</f>
        <v>Unfavourable</v>
      </c>
      <c r="AC39" s="85" t="s">
        <v>381</v>
      </c>
      <c r="AD39" s="2993" t="s">
        <v>1163</v>
      </c>
      <c r="AE39" s="2994"/>
      <c r="AG39" s="368"/>
      <c r="AH39" s="368"/>
      <c r="AI39" s="368"/>
      <c r="AJ39" s="368"/>
    </row>
    <row r="40" spans="1:36" ht="9.9499999999999993" customHeight="1">
      <c r="A40" s="2968"/>
      <c r="B40" s="74"/>
      <c r="F40" s="334"/>
      <c r="G40" s="1511" t="s">
        <v>1075</v>
      </c>
      <c r="H40" s="388"/>
      <c r="I40" s="389"/>
      <c r="J40" s="389"/>
      <c r="K40" s="390"/>
      <c r="L40" s="391"/>
      <c r="M40" s="392"/>
      <c r="N40" s="393" t="str">
        <f>IF(AND(Q38="",Q40=""),"",IF(AND(Q38="i",Q40&gt;L107),"zone size outside RMi limit",IF(AND(Q38&lt;&gt;"",Q40&gt;E107),"zone size exceeds RMi limit","")))</f>
        <v/>
      </c>
      <c r="O40" s="393"/>
      <c r="P40" s="394" t="s">
        <v>710</v>
      </c>
      <c r="Q40" s="1694"/>
      <c r="R40" s="386" t="str">
        <f>IF(Q38="","",IF(Q40="","Input assumed:",""))</f>
        <v>Input assumed:</v>
      </c>
      <c r="S40" s="395">
        <f>IF(R40="","",IF(Q40&lt;&gt;"",Q40,S106))</f>
        <v>1</v>
      </c>
      <c r="T40" s="396" t="str">
        <f>IF(OR(Q40="a",Q40="b",Q40="c",Q40="d",Q40="e",Q40="f",Q40="g",Q40="h",Q40="i",Q40="j",Q40="k",Q40="l",Q40="m",Q40="n",Q40="o",Q40="p",Q40="q"),"check input",IF(AND(Q40&lt;&gt;"",Q38=""),"←remove",""))</f>
        <v/>
      </c>
      <c r="U40" s="1458"/>
      <c r="V40" s="538"/>
      <c r="W40" s="1458"/>
      <c r="X40" s="1715"/>
      <c r="Y40" s="1718"/>
      <c r="AA40" s="1719"/>
      <c r="AB40" s="387" t="str">
        <f>IF(Z39="","",IF(Z39&lt;'Parameter tables'!AB175,'Parameter tables'!O175,IF(Z38&gt;'Parameter tables'!$Y$176,'Parameter tables'!$O$175,IF(AND(Z38&lt;'Parameter tables'!$Y$177,Z39&lt;'Parameter tables'!$AB$177),'Parameter tables'!$O$177,IF(AND(Z38&lt;'Parameter tables'!$Y$178,Z39&lt;='Parameter tables'!$AB$178),'Parameter tables'!$O$178,IF(AND(Z38&lt;='Parameter tables'!$Y$179,Z38&gt;='Parameter tables'!$W$179),'Parameter tables'!$O$178,IF(AND(Z38&lt;'Parameter tables'!$Y$180,Z39&gt;'Parameter tables'!$AB$180),'Parameter tables'!$O$180,"?")))))))</f>
        <v>Fair</v>
      </c>
      <c r="AC40" s="86" t="s">
        <v>382</v>
      </c>
      <c r="AE40" s="1720"/>
      <c r="AG40" s="397"/>
      <c r="AH40" s="397"/>
      <c r="AI40" s="368"/>
      <c r="AJ40" s="368"/>
    </row>
    <row r="41" spans="1:36" ht="9.9499999999999993" customHeight="1" thickBot="1">
      <c r="A41" s="2968"/>
      <c r="B41" s="74"/>
      <c r="F41" s="398"/>
      <c r="G41" s="1512" t="s">
        <v>1085</v>
      </c>
      <c r="I41" s="384"/>
      <c r="J41" s="384"/>
      <c r="K41" s="399"/>
      <c r="L41" s="400"/>
      <c r="M41" s="401"/>
      <c r="N41" s="402"/>
      <c r="O41" s="402"/>
      <c r="P41" s="403" t="s">
        <v>784</v>
      </c>
      <c r="Q41" s="205"/>
      <c r="R41" s="404" t="str">
        <f>IF(Q38="","",IF(Q41="","Input assumed:",""))</f>
        <v>Input assumed:</v>
      </c>
      <c r="S41" s="405">
        <f>IF(R41="","",IF(OR(Q38="f",Q38="g",Q38="h",Q38="i",Q41=""),L191*1000,Q41))</f>
        <v>0.1</v>
      </c>
      <c r="T41" s="396" t="str">
        <f>IF(OR(Q41="a",Q41="b",Q41="c",Q41="d",Q41="e",Q41="f",Q41="g",Q41="h",Q41="i",Q41="j",Q41="k",Q41="l",Q41="m",Q41="n",Q41="o",Q41="p",Q41="q"),"check input",IF(AND(Q41&lt;&gt;"",Q38=""),"←remove",""))</f>
        <v/>
      </c>
      <c r="V41" s="379"/>
      <c r="X41" s="1707"/>
      <c r="Y41" s="1721" t="s">
        <v>791</v>
      </c>
      <c r="Z41" s="1722"/>
      <c r="AA41" s="1721"/>
      <c r="AB41" s="1721"/>
      <c r="AC41" s="1721"/>
      <c r="AD41" s="494"/>
      <c r="AE41" s="1723"/>
      <c r="AG41" s="248"/>
      <c r="AH41" s="248"/>
      <c r="AI41" s="406"/>
      <c r="AJ41" s="406"/>
    </row>
    <row r="42" spans="1:36" ht="9" customHeight="1">
      <c r="A42" s="2968"/>
      <c r="B42" s="74"/>
      <c r="C42" s="407"/>
      <c r="D42" s="407"/>
      <c r="E42" s="408"/>
      <c r="F42" s="409"/>
      <c r="G42" s="1513" t="s">
        <v>1130</v>
      </c>
      <c r="H42" s="410"/>
      <c r="I42" s="2863"/>
      <c r="J42" s="411" t="s">
        <v>457</v>
      </c>
      <c r="K42" s="411" t="s">
        <v>373</v>
      </c>
      <c r="L42" s="411" t="s">
        <v>181</v>
      </c>
      <c r="M42" s="278" t="s">
        <v>374</v>
      </c>
      <c r="N42" s="2538" t="s">
        <v>788</v>
      </c>
      <c r="O42" s="2539"/>
      <c r="P42" s="412" t="s">
        <v>673</v>
      </c>
      <c r="Q42" s="206"/>
      <c r="R42" s="413" t="str">
        <f>IF(Q38="","",IF(Q42="","Input assumed:",""))</f>
        <v>Input assumed:</v>
      </c>
      <c r="S42" s="1402" t="str">
        <f>IF(R42="","",IF(Q42="",'Parameter tables'!G178,""))</f>
        <v>c</v>
      </c>
      <c r="T42" s="229" t="str">
        <f>IF(AND(Q42&lt;&gt;"",Q38=""),"←remove",IF(OR(Q42="",Q42="a",Q42="b",Q42="c",Q42="d",Q42="e"),"","check input"))</f>
        <v/>
      </c>
      <c r="V42" s="379"/>
      <c r="AF42" s="414"/>
      <c r="AG42" s="215"/>
      <c r="AH42" s="215"/>
    </row>
    <row r="43" spans="1:36" ht="9" customHeight="1">
      <c r="A43" s="2968"/>
      <c r="B43" s="74"/>
      <c r="C43" s="415"/>
      <c r="D43" s="415"/>
      <c r="E43" s="416"/>
      <c r="F43" s="417"/>
      <c r="G43" s="418" t="s">
        <v>455</v>
      </c>
      <c r="H43" s="419"/>
      <c r="I43" s="2864"/>
      <c r="J43" s="1376" t="s">
        <v>16</v>
      </c>
      <c r="K43" s="1388" t="s">
        <v>17</v>
      </c>
      <c r="L43" s="1376" t="s">
        <v>20</v>
      </c>
      <c r="M43" s="1376" t="s">
        <v>22</v>
      </c>
      <c r="N43" s="2536" t="s">
        <v>24</v>
      </c>
      <c r="O43" s="2537"/>
      <c r="P43" s="403" t="s">
        <v>674</v>
      </c>
      <c r="Q43" s="207"/>
      <c r="R43" s="404" t="str">
        <f>IF(Q38="","",IF(Q43="","Input assumed:",""))</f>
        <v>Input assumed:</v>
      </c>
      <c r="S43" s="1403" t="str">
        <f>IF(R43="","",IF(Q43="",'Parameter tables'!G178,""))</f>
        <v>c</v>
      </c>
      <c r="T43" s="229" t="str">
        <f>IF(AND(Q43&lt;&gt;"",Q38=""),"←remove",IF(OR(Q43="",Q43="a",Q43="b",Q43="c",Q43="d",Q43="e"),"","check input"))</f>
        <v/>
      </c>
      <c r="V43" s="379"/>
      <c r="AF43" s="94"/>
      <c r="AG43" s="94"/>
      <c r="AH43" s="93"/>
    </row>
    <row r="44" spans="1:36" ht="9.75" customHeight="1">
      <c r="A44" s="2968"/>
      <c r="B44" s="74"/>
      <c r="C44" s="415"/>
      <c r="D44" s="415"/>
      <c r="E44" s="416"/>
      <c r="F44" s="417"/>
      <c r="G44" s="1399" t="s">
        <v>1100</v>
      </c>
      <c r="H44" s="420" t="s">
        <v>781</v>
      </c>
      <c r="I44" s="1398" t="s">
        <v>778</v>
      </c>
      <c r="J44" s="279" t="s">
        <v>780</v>
      </c>
      <c r="K44" s="1336" t="s">
        <v>1059</v>
      </c>
      <c r="L44" s="1337" t="s">
        <v>1061</v>
      </c>
      <c r="M44" s="1337" t="s">
        <v>1105</v>
      </c>
      <c r="N44" s="2849" t="s">
        <v>1131</v>
      </c>
      <c r="O44" s="2850"/>
      <c r="P44" s="2845" t="s">
        <v>1076</v>
      </c>
      <c r="Q44" s="2857"/>
      <c r="R44" s="2841" t="str">
        <f>IF(Q38="","",IF(Q38="i","Weak filling in zone",IF(Q44="","Input assumed:","")))</f>
        <v>Input assumed:</v>
      </c>
      <c r="S44" s="2843" t="str">
        <f>IF(R44="","",IF(Q38="f",'Parameter tables'!G186,IF(Q38="g",'Parameter tables'!G185,IF(Q38="h",'Parameter tables'!G187,""))))</f>
        <v>b</v>
      </c>
      <c r="T44" s="2407" t="str">
        <f>IF(AND(Q$38="",Q44&lt;&gt;""),"←remove",IF(OR(Q44="",Q44="a",Q44="b",Q44="c",Q44="d",Q44="e",Q44="f",Q44="g"),"","check input"))</f>
        <v/>
      </c>
      <c r="V44" s="379"/>
      <c r="Y44" s="1463"/>
      <c r="AF44" s="94"/>
      <c r="AG44" s="94"/>
      <c r="AH44" s="93"/>
    </row>
    <row r="45" spans="1:36" ht="9.6" customHeight="1">
      <c r="A45" s="2968"/>
      <c r="B45" s="421"/>
      <c r="C45" s="422"/>
      <c r="D45" s="422"/>
      <c r="E45" s="423"/>
      <c r="F45" s="424"/>
      <c r="G45" s="1400" t="s">
        <v>1101</v>
      </c>
      <c r="H45" s="1394" t="s">
        <v>16</v>
      </c>
      <c r="I45" s="1401" t="s">
        <v>17</v>
      </c>
      <c r="J45" s="1394" t="s">
        <v>20</v>
      </c>
      <c r="K45" s="1395" t="s">
        <v>22</v>
      </c>
      <c r="L45" s="1396" t="s">
        <v>24</v>
      </c>
      <c r="M45" s="1397" t="s">
        <v>26</v>
      </c>
      <c r="N45" s="2855" t="s">
        <v>28</v>
      </c>
      <c r="O45" s="2856"/>
      <c r="P45" s="2846"/>
      <c r="Q45" s="2858"/>
      <c r="R45" s="2842"/>
      <c r="S45" s="2844"/>
      <c r="T45" s="2407"/>
      <c r="U45" s="1459"/>
      <c r="V45" s="1483"/>
      <c r="W45" s="1459"/>
    </row>
    <row r="46" spans="1:36" ht="10.5" customHeight="1">
      <c r="A46" s="2968"/>
      <c r="B46" s="2915" t="s">
        <v>1010</v>
      </c>
      <c r="C46" s="2916"/>
      <c r="D46" s="1320" t="s">
        <v>1065</v>
      </c>
      <c r="E46" s="1321" t="s">
        <v>1003</v>
      </c>
      <c r="F46" s="1322" t="s">
        <v>1014</v>
      </c>
      <c r="G46" s="2905" t="s">
        <v>989</v>
      </c>
      <c r="H46" s="2906"/>
      <c r="I46" s="425" t="s">
        <v>675</v>
      </c>
      <c r="J46" s="426" t="s">
        <v>437</v>
      </c>
      <c r="K46" s="279" t="s">
        <v>377</v>
      </c>
      <c r="L46" s="279" t="s">
        <v>376</v>
      </c>
      <c r="M46" s="279" t="s">
        <v>375</v>
      </c>
      <c r="N46" s="2847" t="s">
        <v>439</v>
      </c>
      <c r="O46" s="2848"/>
      <c r="P46" s="427" t="s">
        <v>699</v>
      </c>
      <c r="Q46" s="208"/>
      <c r="R46" s="386" t="str">
        <f>IF(Q38="","",IF(Q46="","Input assumed:",""))</f>
        <v>Input assumed:</v>
      </c>
      <c r="S46" s="1404" t="str">
        <f>IF(R46="","",'Parameter tables'!G142)</f>
        <v>b</v>
      </c>
      <c r="T46" s="292" t="str">
        <f>IF(AND(Q$38="",Q46&lt;&gt;""),"←remove",IF(OR(Q46="",Q46="a",Q46="b",Q46="c",Q46="d",Q4="e",Q46="f",Q46="g",Q46="g"),"","check input"))</f>
        <v/>
      </c>
      <c r="U46" s="1459"/>
      <c r="V46" s="1483"/>
      <c r="W46" s="1459"/>
    </row>
    <row r="47" spans="1:36" ht="11.25" customHeight="1" thickBot="1">
      <c r="A47" s="2968"/>
      <c r="B47" s="2917"/>
      <c r="C47" s="2918"/>
      <c r="D47" s="1259" t="s">
        <v>16</v>
      </c>
      <c r="E47" s="1260" t="s">
        <v>17</v>
      </c>
      <c r="F47" s="1261" t="s">
        <v>20</v>
      </c>
      <c r="G47" s="2907"/>
      <c r="H47" s="2908"/>
      <c r="I47" s="1323" t="s">
        <v>16</v>
      </c>
      <c r="J47" s="1324" t="s">
        <v>17</v>
      </c>
      <c r="K47" s="1324" t="s">
        <v>20</v>
      </c>
      <c r="L47" s="1324" t="s">
        <v>22</v>
      </c>
      <c r="M47" s="1324" t="s">
        <v>24</v>
      </c>
      <c r="N47" s="1389" t="s">
        <v>996</v>
      </c>
      <c r="O47" s="1262"/>
      <c r="P47" s="1263" t="s">
        <v>1009</v>
      </c>
      <c r="Q47" s="1253"/>
      <c r="R47" s="1252" t="str">
        <f>IF(Q38="","",IF(Q47="","Input assumed:",""))</f>
        <v>Input assumed:</v>
      </c>
      <c r="S47" s="1405" t="str">
        <f>IF(R47="","",'Parameter tables'!G194)</f>
        <v>a</v>
      </c>
      <c r="T47" s="292" t="str">
        <f>IF(AND(Q$38="",Q47&lt;&gt;""),"←remove",IF(OR(Q47="",Q47="a",Q47="b",Q47="c"),"","check input"))</f>
        <v/>
      </c>
      <c r="U47" s="1459"/>
      <c r="V47" s="1483"/>
      <c r="W47" s="1459"/>
    </row>
    <row r="48" spans="1:36" ht="13.5" customHeight="1">
      <c r="A48" s="1264"/>
      <c r="B48" s="1265"/>
      <c r="C48" s="1266"/>
      <c r="D48" s="1266"/>
      <c r="E48" s="1267"/>
      <c r="F48" s="1267"/>
      <c r="G48" s="1267"/>
      <c r="H48" s="1268" t="s">
        <v>734</v>
      </c>
      <c r="I48" s="1269"/>
      <c r="J48" s="1266"/>
      <c r="K48" s="1358"/>
      <c r="L48" s="1358"/>
      <c r="M48" s="1359"/>
      <c r="N48" s="1357"/>
      <c r="O48" s="1357"/>
      <c r="P48" s="1360"/>
      <c r="Q48" s="1270" t="str">
        <f>IF(AND(L64="",O62&lt;&gt;""),"clear check box",IF(AND(Q38="",O61&lt;&gt;""),"clear 'check box'",IF(AND(T47="",T46="",T44="",T43="",T42="",T41="",T40="",T39="",T38="",R37="",T36="",T34="",T32="",T30="",T27="",T24="",T22="",T21="",T20="",T18="",T16="",T15="",T14="",T13="",T11="",T9=""),"","CHECK INPUT")))</f>
        <v/>
      </c>
      <c r="R48" s="1271" t="str">
        <f>IF(AND(Q38="",Q11=""),"  (need input of DJ and/or SRFz)","")</f>
        <v/>
      </c>
      <c r="S48" s="1272"/>
      <c r="T48" s="1273"/>
      <c r="U48" s="1460"/>
      <c r="V48" s="1464"/>
      <c r="W48" s="1460"/>
      <c r="X48" s="1460"/>
    </row>
    <row r="49" spans="1:35" ht="9.75" customHeight="1">
      <c r="A49" s="431"/>
      <c r="B49" s="432"/>
      <c r="C49" s="2953" t="s">
        <v>794</v>
      </c>
      <c r="D49" s="2953"/>
      <c r="E49" s="2953"/>
      <c r="F49" s="2953"/>
      <c r="G49" s="2953"/>
      <c r="H49" s="2953"/>
      <c r="I49" s="2953"/>
      <c r="J49" s="2953"/>
      <c r="K49" s="2953"/>
      <c r="L49" s="433"/>
      <c r="M49" s="434"/>
      <c r="N49" s="2404" t="s">
        <v>706</v>
      </c>
      <c r="O49" s="2405"/>
      <c r="P49" s="2405"/>
      <c r="Q49" s="2406"/>
      <c r="R49" s="2404" t="s">
        <v>798</v>
      </c>
      <c r="S49" s="2405"/>
      <c r="T49" s="2406"/>
      <c r="U49" s="1460"/>
      <c r="V49" s="1464"/>
      <c r="W49" s="1460"/>
      <c r="X49" s="1460"/>
      <c r="Y49" s="1582"/>
      <c r="Z49" s="1586"/>
      <c r="AA49" s="1586"/>
      <c r="AB49" s="1586"/>
      <c r="AC49" s="1586"/>
      <c r="AD49" s="1586"/>
      <c r="AE49" s="1586"/>
      <c r="AF49" s="1587"/>
      <c r="AG49" s="1587"/>
      <c r="AH49" s="1588"/>
      <c r="AI49" s="1589"/>
    </row>
    <row r="50" spans="1:35" ht="10.5" customHeight="1">
      <c r="A50" s="2940" t="s">
        <v>585</v>
      </c>
      <c r="B50" s="2941"/>
      <c r="C50" s="1239" t="str">
        <f>IF(Q$11="","","Jointed rock:")</f>
        <v>Jointed rock:</v>
      </c>
      <c r="D50" s="435" t="s">
        <v>486</v>
      </c>
      <c r="E50" s="436">
        <f>D128</f>
        <v>24.0625</v>
      </c>
      <c r="F50" s="437" t="str">
        <f>F128</f>
        <v>good</v>
      </c>
      <c r="G50" s="438" t="s">
        <v>285</v>
      </c>
      <c r="H50" s="1287">
        <f>D132</f>
        <v>120.3125</v>
      </c>
      <c r="I50" s="439" t="s">
        <v>119</v>
      </c>
      <c r="J50" s="440">
        <f>D130</f>
        <v>24.0625</v>
      </c>
      <c r="K50" s="441"/>
      <c r="L50" s="441"/>
      <c r="M50" s="442"/>
      <c r="N50" s="443"/>
      <c r="O50" s="444" t="s">
        <v>305</v>
      </c>
      <c r="P50" s="445">
        <f>D140</f>
        <v>34.533518671314397</v>
      </c>
      <c r="Q50" s="446" t="s">
        <v>927</v>
      </c>
      <c r="R50" s="1230" t="str">
        <f>IF(AND(Q36&lt;&gt;"e",Q36&lt;&gt;"f",Q36&lt;&gt;"g"),"",IF(D114&lt;75,"Rock bursting acts in low degree of jointing",""))</f>
        <v/>
      </c>
      <c r="S50" s="1231"/>
      <c r="T50" s="1232"/>
      <c r="U50" s="1460"/>
      <c r="V50" s="1464"/>
      <c r="W50" s="1460"/>
      <c r="X50" s="1460"/>
      <c r="Y50" s="1583" t="s">
        <v>1124</v>
      </c>
      <c r="Z50" s="1590" t="s">
        <v>1125</v>
      </c>
      <c r="AA50" s="1591"/>
      <c r="AB50" s="1592"/>
      <c r="AC50" s="1592"/>
      <c r="AD50" s="1592"/>
      <c r="AE50" s="1592"/>
      <c r="AF50" s="1593"/>
      <c r="AG50" s="1593"/>
      <c r="AH50" s="1594"/>
      <c r="AI50" s="1595"/>
    </row>
    <row r="51" spans="1:35" ht="10.5" customHeight="1">
      <c r="A51" s="2942"/>
      <c r="B51" s="2943"/>
      <c r="C51" s="1240" t="str">
        <f>IF(AND(Q38&lt;&gt;"",Q11&lt;&gt;"",O61&lt;&gt;""),"Weak zone*):","Weak zone:")</f>
        <v>Weak zone*):</v>
      </c>
      <c r="D51" s="435" t="s">
        <v>1115</v>
      </c>
      <c r="E51" s="436">
        <f>IF(C51="","-",IF(AND(Q11&lt;&gt;"",Q38&lt;&gt;"",O61&lt;&gt;""),D129,E128))</f>
        <v>0.89559105250852811</v>
      </c>
      <c r="F51" s="437" t="str">
        <f>G128</f>
        <v>extr. poor</v>
      </c>
      <c r="G51" s="447" t="s">
        <v>1136</v>
      </c>
      <c r="H51" s="1288">
        <f>IF(C51="","-",IF(AND(Q11&lt;&gt;"",Q38&lt;&gt;"",O61&lt;&gt;""),D133,E132))</f>
        <v>2.0026024734496528</v>
      </c>
      <c r="I51" s="448" t="s">
        <v>1137</v>
      </c>
      <c r="J51" s="440">
        <f>IF(C51="","-",IF(AND(Q11&lt;&gt;"",Q38&lt;&gt;"",O61&lt;&gt;""),D131,E130))</f>
        <v>0.89559105250852811</v>
      </c>
      <c r="K51" s="449"/>
      <c r="L51" s="449"/>
      <c r="M51" s="442"/>
      <c r="N51" s="450"/>
      <c r="O51" s="451"/>
      <c r="P51" s="452"/>
      <c r="Q51" s="453"/>
      <c r="R51" s="1233" t="str">
        <f>IF(AND(Q36&lt;&gt;"e",Q36&lt;&gt;"f",Q36&lt;&gt;"g"),"",IF(AND(Q7="a",E147&gt;E106),"",IF(AND(Q7="",E147&gt;E106),"","Rock bursting takes place in brittle, hard rock")))</f>
        <v/>
      </c>
      <c r="S51" s="1231"/>
      <c r="T51" s="1232"/>
      <c r="U51" s="1460"/>
      <c r="V51" s="1464"/>
      <c r="W51" s="1460"/>
      <c r="X51" s="1460"/>
      <c r="Y51" s="1584"/>
      <c r="Z51" s="1590" t="s">
        <v>1126</v>
      </c>
      <c r="AA51" s="1596"/>
      <c r="AB51" s="1592"/>
      <c r="AC51" s="1592"/>
      <c r="AD51" s="1592"/>
      <c r="AE51" s="1592"/>
      <c r="AF51" s="1593"/>
      <c r="AG51" s="1593"/>
      <c r="AH51" s="1594"/>
      <c r="AI51" s="1595"/>
    </row>
    <row r="52" spans="1:35" ht="10.5" customHeight="1">
      <c r="A52" s="2960" t="s">
        <v>112</v>
      </c>
      <c r="B52" s="2961"/>
      <c r="C52" s="1241" t="str">
        <f>IF(Q$11="","","Jointed rock:")</f>
        <v>Jointed rock:</v>
      </c>
      <c r="D52" s="454" t="s">
        <v>635</v>
      </c>
      <c r="E52" s="455" t="str">
        <f>IF(G52&lt;&gt;"","",L127)</f>
        <v/>
      </c>
      <c r="F52" s="456" t="str">
        <f>IF(G52&lt;&gt;"","",M127)</f>
        <v/>
      </c>
      <c r="G52" s="457" t="str">
        <f>IF(OR(Q36="e",Q36="f",Q36="g"),"Rock bursting: Outside stress limit of RMR?",IF(Q38&lt;&gt;"","For weakness zones, the RMR limit and support is unclear",""))</f>
        <v>For weakness zones, the RMR limit and support is unclear</v>
      </c>
      <c r="H52" s="458"/>
      <c r="I52" s="459"/>
      <c r="J52" s="460"/>
      <c r="K52" s="461"/>
      <c r="L52" s="462"/>
      <c r="M52" s="463"/>
      <c r="N52" s="464"/>
      <c r="O52" s="465" t="str">
        <f>IF(P52="","","Em =")</f>
        <v/>
      </c>
      <c r="P52" s="466" t="str">
        <f>IF(L133&lt;&gt;"",L133,L134)</f>
        <v/>
      </c>
      <c r="Q52" s="467" t="str">
        <f>IF(P52="","",IF(L133&lt;&gt;"","(for RMR &gt;50)","(for RMR &lt;50)"))</f>
        <v/>
      </c>
      <c r="R52" s="1234" t="str">
        <f>C139</f>
        <v/>
      </c>
      <c r="S52" s="1235"/>
      <c r="T52" s="1236"/>
      <c r="U52" s="1460"/>
      <c r="V52" s="1464"/>
      <c r="W52" s="1460"/>
      <c r="X52" s="1460"/>
      <c r="Y52" s="1585"/>
      <c r="Z52" s="1597"/>
      <c r="AA52" s="1598"/>
      <c r="AB52" s="1599"/>
      <c r="AC52" s="1599"/>
      <c r="AD52" s="1599"/>
      <c r="AE52" s="1599"/>
      <c r="AF52" s="1599"/>
      <c r="AG52" s="1600"/>
      <c r="AH52" s="1601"/>
      <c r="AI52" s="1602"/>
    </row>
    <row r="53" spans="1:35" ht="10.5" customHeight="1">
      <c r="A53" s="2944" t="s">
        <v>459</v>
      </c>
      <c r="B53" s="2945"/>
      <c r="C53" s="1242" t="str">
        <f>IF(Q$11="","","Jointed rock:")</f>
        <v>Jointed rock:</v>
      </c>
      <c r="D53" s="479" t="s">
        <v>487</v>
      </c>
      <c r="E53" s="2308">
        <f>IF(OR(Q36="e",Q36="f",Q36="g")," -  *)",K159)</f>
        <v>9.3065814630399668</v>
      </c>
      <c r="F53" s="1292" t="str">
        <f>IF(OR(Q36="e",Q36="f",Q36="g"),"rock bursting",M159)</f>
        <v>fair</v>
      </c>
      <c r="G53" s="468" t="s">
        <v>125</v>
      </c>
      <c r="H53" s="1284">
        <f>IF(OR(Q36="e",Q36="f",Q36="g"), " -  *)",K161)</f>
        <v>46.532907315199836</v>
      </c>
      <c r="I53" s="470" t="s">
        <v>586</v>
      </c>
      <c r="J53" s="471">
        <f>K163</f>
        <v>29.039391599402681</v>
      </c>
      <c r="K53" s="472" t="str">
        <f>M163</f>
        <v>fair</v>
      </c>
      <c r="L53" s="473" t="s">
        <v>649</v>
      </c>
      <c r="M53" s="474">
        <f>K165</f>
        <v>2.9039391599402684</v>
      </c>
      <c r="N53" s="475"/>
      <c r="O53" s="476" t="s">
        <v>305</v>
      </c>
      <c r="P53" s="477">
        <f>L177</f>
        <v>17.084965780739378</v>
      </c>
      <c r="Q53" s="478" t="s">
        <v>1019</v>
      </c>
      <c r="R53" s="1293" t="str">
        <f>IF(O61="","",IF(AND(Q38&lt;&gt;"f",Q38&lt;&gt;"g",Q38&lt;&gt;"h"),""," Weak zone may need further evaluations"))</f>
        <v xml:space="preserve"> Weak zone may need further evaluations</v>
      </c>
      <c r="S53" s="1294"/>
      <c r="T53" s="1295"/>
      <c r="U53" s="1460"/>
      <c r="V53" s="1464"/>
      <c r="W53" s="1460"/>
      <c r="X53" s="1460"/>
      <c r="Y53" s="1466"/>
      <c r="Z53" s="1465"/>
      <c r="AA53" s="75"/>
    </row>
    <row r="54" spans="1:35" ht="10.5" customHeight="1">
      <c r="A54" s="2946"/>
      <c r="B54" s="2947"/>
      <c r="C54" s="1242" t="str">
        <f>IF(AND(Q38&lt;&gt;"",Q11&lt;&gt;"",O61&lt;&gt;""),"Weak zone*):","Weak zone:")</f>
        <v>Weak zone*):</v>
      </c>
      <c r="D54" s="479" t="s">
        <v>1109</v>
      </c>
      <c r="E54" s="1289">
        <f>IF(C54="","-",IF(AND(Q11&lt;&gt;"",Q38&lt;&gt;"",O61&lt;&gt;""),K160,L159))</f>
        <v>2.1500111942820852</v>
      </c>
      <c r="F54" s="480" t="str">
        <f>N159</f>
        <v>fair</v>
      </c>
      <c r="G54" s="468" t="s">
        <v>1110</v>
      </c>
      <c r="H54" s="469">
        <f>IF(C54="","   -",IF(AND(Q11&lt;&gt;"",Q38&lt;&gt;"",O61&lt;&gt;""),K162,L161))</f>
        <v>10.750055971410426</v>
      </c>
      <c r="I54" s="470" t="s">
        <v>1111</v>
      </c>
      <c r="J54" s="481">
        <f>IF(C54="","-",IF(O61&lt;&gt;"",K164,L163))</f>
        <v>35.79717456884223</v>
      </c>
      <c r="K54" s="482" t="str">
        <f>N163</f>
        <v>fair</v>
      </c>
      <c r="L54" s="473" t="s">
        <v>1112</v>
      </c>
      <c r="M54" s="474">
        <f>IF(C54="","  -",IF(O61&lt;&gt;"",K166,L165))</f>
        <v>35.79717456884223</v>
      </c>
      <c r="N54" s="475"/>
      <c r="O54" s="483"/>
      <c r="P54" s="484"/>
      <c r="Q54" s="485"/>
      <c r="R54" s="1237" t="str">
        <f>IF(OR(Q26="o",Q44="o"),"Be aware of potential swelling clay problems","")</f>
        <v/>
      </c>
      <c r="S54" s="1296"/>
      <c r="T54" s="1238"/>
      <c r="U54" s="1461"/>
      <c r="V54" s="1467"/>
      <c r="W54" s="1461"/>
      <c r="X54" s="1484"/>
      <c r="Z54" s="1465"/>
      <c r="AA54" s="75"/>
    </row>
    <row r="55" spans="1:35" ht="10.5" customHeight="1">
      <c r="A55" s="2948"/>
      <c r="B55" s="2949"/>
      <c r="C55" s="1325" t="str">
        <f>IF(Q$11="","","Jointed rock:")</f>
        <v>Jointed rock:</v>
      </c>
      <c r="D55" s="1299" t="str">
        <f>IF(C55="","","RMi =")</f>
        <v>RMi =</v>
      </c>
      <c r="E55" s="1300">
        <f>L156</f>
        <v>9.3065814630399668</v>
      </c>
      <c r="F55" s="1299"/>
      <c r="G55" s="1301" t="str">
        <f>IF(Q38&lt;&gt;"","In weak zone, RMi =","")</f>
        <v>In weak zone, RMi =</v>
      </c>
      <c r="H55" s="1302">
        <f>E179</f>
        <v>0.4966966822238868</v>
      </c>
      <c r="I55" s="2874" t="s">
        <v>1036</v>
      </c>
      <c r="J55" s="2874"/>
      <c r="K55" s="2874"/>
      <c r="L55" s="2874"/>
      <c r="M55" s="2875"/>
      <c r="N55" s="475"/>
      <c r="O55" s="1303" t="s">
        <v>665</v>
      </c>
      <c r="P55" s="477">
        <f>L179</f>
        <v>20</v>
      </c>
      <c r="Q55" s="478" t="str">
        <f>IF(P55="","","(Em=0.2 UCS)")</f>
        <v>(Em=0.2 UCS)</v>
      </c>
      <c r="R55" s="1603" t="s">
        <v>999</v>
      </c>
      <c r="S55" s="1296"/>
      <c r="T55" s="1238"/>
      <c r="U55" s="1461"/>
      <c r="V55" s="1467"/>
      <c r="W55" s="1461"/>
      <c r="X55" s="1461"/>
      <c r="Y55" s="1459"/>
      <c r="AA55" s="1468"/>
      <c r="AB55" s="1468"/>
      <c r="AC55" s="1468"/>
      <c r="AD55" s="1468"/>
    </row>
    <row r="56" spans="1:35" ht="10.5" customHeight="1">
      <c r="A56" s="807"/>
      <c r="B56" s="1793" t="str">
        <f>IF(AND(Q38&lt;&gt;"",Q11&lt;&gt;"",O61&lt;&gt;""),"Weak zone*) = assumed effect from arching is included in the estimates",IF(E53=" -  *)","Result: Gc = - *) is based on the degree of bursting (see input of SL)",""))</f>
        <v>Weak zone*) = assumed effect from arching is included in the estimates</v>
      </c>
      <c r="C56" s="714"/>
      <c r="D56" s="784"/>
      <c r="E56" s="363"/>
      <c r="F56" s="363"/>
      <c r="G56" s="1792"/>
      <c r="H56" s="714"/>
      <c r="I56" s="1785" t="str">
        <f>IF(AND(C55="",G55=""),"","( RMi values indicate the rockmass compressive strength in MPa )")</f>
        <v>( RMi values indicate the rockmass compressive strength in MPa )</v>
      </c>
      <c r="J56" s="807"/>
      <c r="K56" s="363"/>
      <c r="L56" s="807"/>
      <c r="M56" s="1499"/>
      <c r="N56" s="1552"/>
      <c r="O56" s="1552"/>
      <c r="P56" s="1553"/>
      <c r="Q56" s="1554"/>
      <c r="R56" s="1290"/>
      <c r="S56" s="1290"/>
      <c r="T56" s="1291"/>
      <c r="U56" s="486"/>
      <c r="V56" s="1462"/>
      <c r="W56" s="486"/>
    </row>
    <row r="57" spans="1:35" ht="10.5" customHeight="1" thickBot="1">
      <c r="A57" s="487"/>
      <c r="B57" s="488"/>
      <c r="C57" s="488"/>
      <c r="E57" s="489"/>
      <c r="M57" s="490"/>
      <c r="N57" s="491"/>
      <c r="O57" s="492"/>
      <c r="Q57" s="491"/>
      <c r="R57" s="493"/>
      <c r="S57" s="494"/>
      <c r="T57" s="495" t="str">
        <f>IF(AND(Q38&lt;&gt;"",L66&lt;&gt;""),"Use only one input of SRF (either for overstressing or for weakness zone)","")</f>
        <v/>
      </c>
      <c r="U57" s="486"/>
      <c r="V57" s="1462"/>
      <c r="W57" s="486"/>
      <c r="X57" s="1485" t="s">
        <v>488</v>
      </c>
    </row>
    <row r="58" spans="1:35" ht="12" customHeight="1">
      <c r="A58" s="496"/>
      <c r="B58" s="497"/>
      <c r="C58" s="2534" t="s">
        <v>960</v>
      </c>
      <c r="D58" s="2534"/>
      <c r="E58" s="2534"/>
      <c r="F58" s="2534"/>
      <c r="G58" s="2534"/>
      <c r="H58" s="2534"/>
      <c r="I58" s="2534"/>
      <c r="J58" s="498"/>
      <c r="K58" s="498"/>
      <c r="L58" s="498"/>
      <c r="M58" s="499"/>
      <c r="N58" s="500"/>
      <c r="O58" s="501"/>
      <c r="P58" s="2402" t="s">
        <v>553</v>
      </c>
      <c r="Q58" s="2402"/>
      <c r="R58" s="2402"/>
      <c r="S58" s="502"/>
      <c r="T58" s="1204" t="s">
        <v>1011</v>
      </c>
      <c r="U58" s="1462"/>
      <c r="V58" s="1462"/>
      <c r="W58" s="486"/>
      <c r="X58" s="87" t="s">
        <v>1120</v>
      </c>
      <c r="Z58" s="503"/>
      <c r="AA58" s="503"/>
      <c r="AB58" s="503"/>
      <c r="AC58" s="503"/>
      <c r="AD58" s="503"/>
      <c r="AE58" s="1469"/>
      <c r="AF58" s="503"/>
      <c r="AG58" s="3"/>
      <c r="AH58" s="3"/>
    </row>
    <row r="59" spans="1:35" ht="12" customHeight="1">
      <c r="A59" s="504"/>
      <c r="B59" s="505"/>
      <c r="C59" s="2535"/>
      <c r="D59" s="2535"/>
      <c r="E59" s="2535"/>
      <c r="F59" s="2535"/>
      <c r="G59" s="2535"/>
      <c r="H59" s="2535"/>
      <c r="I59" s="2535"/>
      <c r="J59" s="506"/>
      <c r="K59" s="506"/>
      <c r="L59" s="507"/>
      <c r="M59" s="507"/>
      <c r="N59" s="508"/>
      <c r="O59" s="509"/>
      <c r="P59" s="2403"/>
      <c r="Q59" s="2403"/>
      <c r="R59" s="2403"/>
      <c r="S59" s="510"/>
      <c r="T59" s="1205"/>
      <c r="U59" s="1462"/>
      <c r="V59" s="1462"/>
      <c r="W59" s="486"/>
      <c r="X59" s="521" t="s">
        <v>612</v>
      </c>
      <c r="Z59" s="503"/>
      <c r="AA59" s="503"/>
      <c r="AB59" s="503"/>
      <c r="AC59" s="503"/>
      <c r="AD59" s="503"/>
      <c r="AE59" s="1469"/>
      <c r="AF59" s="503"/>
      <c r="AG59" s="3"/>
      <c r="AH59" s="3"/>
    </row>
    <row r="60" spans="1:35" ht="12.6" customHeight="1">
      <c r="A60" s="511"/>
      <c r="B60" s="512" t="s">
        <v>416</v>
      </c>
      <c r="C60" s="513" t="str">
        <f>IF(G1="","",G1)</f>
        <v/>
      </c>
      <c r="D60" s="514"/>
      <c r="E60" s="513"/>
      <c r="F60" s="515" t="s">
        <v>413</v>
      </c>
      <c r="G60" s="516" t="str">
        <f>IF(K1="","",K1)</f>
        <v/>
      </c>
      <c r="H60" s="517"/>
      <c r="I60" s="518" t="s">
        <v>414</v>
      </c>
      <c r="J60" s="519" t="str">
        <f>IF(S2="","",S2)</f>
        <v/>
      </c>
      <c r="K60" s="514"/>
      <c r="L60" s="520" t="s">
        <v>380</v>
      </c>
      <c r="M60" s="2954" t="str">
        <f>IF(S3="","",S3)</f>
        <v/>
      </c>
      <c r="N60" s="2955"/>
      <c r="O60" s="1551" t="str">
        <f>IF(AND(O61&gt;0,O62&gt;0),"only one 'x'",IF(AND(Q38="",O61&lt;&gt;""),"clear check box",""))</f>
        <v/>
      </c>
      <c r="P60" s="1207"/>
      <c r="T60" s="334"/>
      <c r="U60" s="1462"/>
      <c r="V60" s="1462"/>
      <c r="W60" s="486"/>
      <c r="X60" s="87" t="s">
        <v>792</v>
      </c>
      <c r="Z60" s="503"/>
      <c r="AA60" s="503"/>
      <c r="AB60" s="503"/>
      <c r="AC60" s="503"/>
      <c r="AD60" s="503"/>
      <c r="AE60" s="1469"/>
      <c r="AF60" s="503"/>
      <c r="AG60" s="3"/>
      <c r="AH60" s="3"/>
    </row>
    <row r="61" spans="1:35" ht="12.6" customHeight="1">
      <c r="A61" s="359"/>
      <c r="B61" s="522" t="s">
        <v>508</v>
      </c>
      <c r="C61" s="523" t="str">
        <f>IF(N1="","",N1)</f>
        <v/>
      </c>
      <c r="D61" s="524"/>
      <c r="E61" s="523"/>
      <c r="F61" s="525" t="s">
        <v>509</v>
      </c>
      <c r="G61" s="526">
        <f>IF(Q1="",L105,Q1)</f>
        <v>10</v>
      </c>
      <c r="H61" s="1353" t="str">
        <f>IF(Q1&lt;&gt;"","","← assumed span (no info)")</f>
        <v>← assumed span (no info)</v>
      </c>
      <c r="I61" s="807"/>
      <c r="J61" s="527" t="s">
        <v>507</v>
      </c>
      <c r="K61" s="526">
        <f>IF(S1="",S105,S1)</f>
        <v>4</v>
      </c>
      <c r="L61" s="1354" t="str">
        <f>IF(S1&lt;&gt;"","","← assumed height (no info given)")</f>
        <v>← assumed height (no info given)</v>
      </c>
      <c r="M61" s="363"/>
      <c r="N61" s="602"/>
      <c r="O61" s="1508" t="s">
        <v>1249</v>
      </c>
      <c r="P61" s="1515" t="str">
        <f>IF(AND(O61="",Q38&lt;&gt;"",Q11&lt;&gt;""),"← Fill in 'x' to see support of WEAKNESS ZONE",IF(AND(Q38&lt;&gt;"",Q11&lt;&gt;"",O61&lt;&gt;""),"← Remove 'x' to see support of JOINTED ROCKMASS",IF(AND(Q11&lt;&gt;"",Q38&lt;&gt;"",O61&lt;&gt;""),"← Remove 'x' to see support of JOINTED ROCK",IF(AND(Q38&lt;&gt;"",O61=""),"← Fill 'x' to see support of WEAKNESS ZONE",IF(AND(Q38="",O61&lt;&gt;""),"← Remove 'x'","")))))</f>
        <v>← Remove 'x' to see support of JOINTED ROCKMASS</v>
      </c>
      <c r="U61" s="1462"/>
      <c r="V61" s="1462"/>
      <c r="W61" s="486"/>
      <c r="X61" s="1486" t="s">
        <v>491</v>
      </c>
      <c r="Z61" s="503"/>
      <c r="AA61" s="503"/>
      <c r="AB61" s="503"/>
      <c r="AC61" s="503"/>
      <c r="AD61" s="503"/>
      <c r="AE61" s="1469"/>
      <c r="AF61" s="503"/>
      <c r="AG61" s="3"/>
      <c r="AH61" s="3"/>
    </row>
    <row r="62" spans="1:35" ht="14.25" customHeight="1">
      <c r="A62" s="379"/>
      <c r="B62" s="528"/>
      <c r="C62" s="2516" t="s">
        <v>112</v>
      </c>
      <c r="D62" s="2517"/>
      <c r="E62" s="2518"/>
      <c r="F62" s="2950" t="s">
        <v>795</v>
      </c>
      <c r="G62" s="2951"/>
      <c r="H62" s="2952"/>
      <c r="I62" s="430"/>
      <c r="J62" s="535"/>
      <c r="K62" s="536" t="s">
        <v>793</v>
      </c>
      <c r="L62" s="535"/>
      <c r="M62" s="535"/>
      <c r="N62" s="1550"/>
      <c r="O62" s="1508"/>
      <c r="P62" s="1514" t="str">
        <f>IF(OR(Q36="h",Q36="i"),"",IF(AND(O62&lt;&gt;"",Q36&lt;&gt;""),"← Remove 'x' to quit comparison",IF(AND(L67="of rock bursting",O62=""),"← Fill in 'x' to compare the rock support with and without bursting",IF(AND(L64="",L67="",O62&lt;&gt;""),"← Remove 'x'",""))))</f>
        <v/>
      </c>
      <c r="T62" s="1206"/>
      <c r="U62" s="1462"/>
      <c r="V62" s="1462"/>
      <c r="W62" s="486"/>
      <c r="Z62" s="503"/>
      <c r="AA62" s="503"/>
      <c r="AB62" s="503"/>
      <c r="AC62" s="503"/>
      <c r="AD62" s="503"/>
      <c r="AE62" s="1469"/>
      <c r="AF62" s="503"/>
      <c r="AG62" s="3"/>
      <c r="AH62" s="3"/>
    </row>
    <row r="63" spans="1:35" ht="13.5" customHeight="1">
      <c r="A63" s="379"/>
      <c r="B63" s="528"/>
      <c r="C63" s="529"/>
      <c r="D63" s="530"/>
      <c r="E63" s="531"/>
      <c r="F63" s="532"/>
      <c r="G63" s="533"/>
      <c r="H63" s="534"/>
      <c r="I63" s="1352"/>
      <c r="J63" s="1735"/>
      <c r="K63" s="1735" t="str">
        <f>IF(L63="","","Roof support capacity ≈")</f>
        <v>Roof support capacity ≈</v>
      </c>
      <c r="L63" s="1736">
        <f>IF(J65="","",IF(O61="",L173,L174))</f>
        <v>1.216027865343793</v>
      </c>
      <c r="M63" s="540"/>
      <c r="N63" s="537"/>
      <c r="O63" s="2861" t="str">
        <f>IF(AND(Q11="",Q38=""),"",IF(AND(O61="",Q38&lt;&gt;""),"check boxes → ",IF(AND(Q11&lt;&gt;"",Q38&lt;&gt;"",O61&lt;&gt;""),"check boxes → ",IF(Q41&lt;&gt;"","check boxes → ",""))))</f>
        <v xml:space="preserve">check boxes → </v>
      </c>
      <c r="P63" s="2851" t="str">
        <f>IF(L66="","",IF(AND(L67="of rock bursting",O62=""),"This will give a possibility to check or compare what the rock support would be without bursting",IF(AND(L67="of rock bursting",O62&lt;&gt;""),""," For squeezing, the RMi system has not been developed enough to include support evaluations")))</f>
        <v/>
      </c>
      <c r="Q63" s="2851"/>
      <c r="R63" s="2851"/>
      <c r="S63" s="2851"/>
      <c r="T63" s="2852"/>
      <c r="U63" s="1462"/>
      <c r="V63" s="1517"/>
      <c r="W63" s="1555"/>
      <c r="X63" s="231"/>
      <c r="Y63" s="231"/>
      <c r="Z63" s="503"/>
      <c r="AA63" s="503"/>
      <c r="AB63" s="503"/>
      <c r="AC63" s="503"/>
      <c r="AD63" s="503"/>
      <c r="AE63" s="1469"/>
      <c r="AF63" s="503"/>
      <c r="AG63" s="3"/>
      <c r="AH63" s="3"/>
    </row>
    <row r="64" spans="1:35" ht="15" customHeight="1">
      <c r="A64" s="379"/>
      <c r="B64" s="528"/>
      <c r="C64" s="2513" t="s">
        <v>489</v>
      </c>
      <c r="D64" s="2514"/>
      <c r="E64" s="2515"/>
      <c r="F64" s="541"/>
      <c r="G64" s="542"/>
      <c r="H64" s="1356" t="s">
        <v>1152</v>
      </c>
      <c r="I64" s="543"/>
      <c r="J64" s="544" t="str">
        <f>IF(K65="","Fill in excav. type  ( see table II )",IF(OR(K65="A",K65="B",K65="C",K65="D"),"","check input"))</f>
        <v/>
      </c>
      <c r="K64" s="1355" t="s">
        <v>813</v>
      </c>
      <c r="L64" s="2836"/>
      <c r="M64" s="2836"/>
      <c r="N64" s="2837"/>
      <c r="O64" s="2862"/>
      <c r="P64" s="2851"/>
      <c r="Q64" s="2851"/>
      <c r="R64" s="2851"/>
      <c r="S64" s="2851"/>
      <c r="T64" s="2852"/>
      <c r="U64" s="1462"/>
      <c r="V64" s="1462"/>
      <c r="W64" s="486"/>
      <c r="X64" s="87" t="s">
        <v>492</v>
      </c>
      <c r="Z64" s="503"/>
      <c r="AB64" s="503"/>
      <c r="AC64" s="503"/>
      <c r="AD64" s="503"/>
      <c r="AE64" s="1469"/>
      <c r="AF64" s="503"/>
      <c r="AG64" s="3"/>
      <c r="AH64" s="3"/>
    </row>
    <row r="65" spans="1:30" ht="12" customHeight="1">
      <c r="A65" s="379"/>
      <c r="B65" s="545"/>
      <c r="C65" s="2925" t="s">
        <v>1071</v>
      </c>
      <c r="D65" s="2926"/>
      <c r="E65" s="2927"/>
      <c r="F65" s="546"/>
      <c r="G65" s="547" t="s">
        <v>939</v>
      </c>
      <c r="H65" s="123">
        <v>1</v>
      </c>
      <c r="I65" s="548"/>
      <c r="J65" s="549" t="s">
        <v>648</v>
      </c>
      <c r="K65" s="126" t="s">
        <v>171</v>
      </c>
      <c r="L65" s="2836"/>
      <c r="M65" s="2836"/>
      <c r="N65" s="2837"/>
      <c r="O65" s="2862"/>
      <c r="P65" s="1208" t="s">
        <v>958</v>
      </c>
      <c r="Q65" s="1209"/>
      <c r="T65" s="1210" t="s">
        <v>558</v>
      </c>
      <c r="U65" s="1462"/>
      <c r="V65" s="1462"/>
      <c r="W65" s="486"/>
      <c r="X65" s="87" t="s">
        <v>613</v>
      </c>
    </row>
    <row r="66" spans="1:30" ht="12" customHeight="1">
      <c r="A66" s="2921" t="s">
        <v>636</v>
      </c>
      <c r="B66" s="2922"/>
      <c r="C66" s="2928" t="s">
        <v>796</v>
      </c>
      <c r="D66" s="2929"/>
      <c r="E66" s="2930"/>
      <c r="F66" s="2912" t="s">
        <v>1070</v>
      </c>
      <c r="G66" s="2913"/>
      <c r="H66" s="2914"/>
      <c r="I66" s="2833" t="str">
        <f>IF(K67="","","Estimated Rock support")</f>
        <v>Estimated Rock support</v>
      </c>
      <c r="J66" s="2834"/>
      <c r="K66" s="2835"/>
      <c r="L66" s="2531" t="str">
        <f>IF(OR(Q36="e",Q36="f",Q36="g",Q36="h",Q36="i"),"Estimated rock support","")</f>
        <v/>
      </c>
      <c r="M66" s="2532"/>
      <c r="N66" s="2533"/>
      <c r="O66" s="2862"/>
      <c r="P66" s="1255" t="s">
        <v>617</v>
      </c>
      <c r="Q66" s="550"/>
      <c r="R66" s="550"/>
      <c r="S66" s="551"/>
      <c r="T66" s="1211" t="s">
        <v>637</v>
      </c>
      <c r="U66" s="1462"/>
      <c r="V66" s="1462"/>
      <c r="W66" s="486"/>
    </row>
    <row r="67" spans="1:30" ht="10.5" customHeight="1">
      <c r="A67" s="2921"/>
      <c r="B67" s="2922"/>
      <c r="C67" s="552"/>
      <c r="D67" s="553" t="str">
        <f>IF(E67="","","(Actual tunnel span is")</f>
        <v/>
      </c>
      <c r="E67" s="554" t="str">
        <f>IF(OR(G61&lt;10,G61&gt;10),G61,"")</f>
        <v/>
      </c>
      <c r="F67" s="546"/>
      <c r="G67" s="1547" t="str">
        <f>IF(AND(O61&lt;&gt;"",Q38&lt;&gt;"")," of             ",IF(AND(Q11="",Q38&lt;&gt;"",O61=""),"?           ",IF(OR(Q36="a",Q36="b",Q36="c",Q36="d",Q36=""),"of jointed rock",IF(OR(Q36="e",Q36="f",Q36="g"),"of rock bursting",IF(OR(Q36="h",Q36="i"),"of squeezing","")))))</f>
        <v xml:space="preserve"> of             </v>
      </c>
      <c r="H67" s="1543" t="str">
        <f>IF(AND(Q11="",Q38=""),"",IF(AND(O61="",Q38&lt;&gt;""),"          see check box",IF(AND(Q11&lt;&gt;"",Q38&lt;&gt;"",O61&lt;&gt;""),"      see check box",IF(AND(Q11&lt;&gt;"",O61&lt;&gt;""),"      clear check box",IF(Q41&lt;&gt;"","      see check box","")))))</f>
        <v xml:space="preserve">      see check box</v>
      </c>
      <c r="I67" s="1544"/>
      <c r="J67" s="430"/>
      <c r="K67" s="1549" t="str">
        <f>IF(O62&lt;&gt;"","without bursting conditions",IF(OR(Q36="e",Q36="f",Q36="g"),"",IF(AND(Q11="",Q38&lt;&gt;"",O61=""),"?                              ",IF(O61&lt;&gt;"","of                         ","of jointed rock            "))))</f>
        <v xml:space="preserve">of                         </v>
      </c>
      <c r="L67" s="2909" t="str">
        <f>IF(OR(Q36="e",Q36="f",Q36="g"),"of rock bursting",IF(OR(Q36="h",Q36="i"),"Squeezing",""))</f>
        <v/>
      </c>
      <c r="M67" s="2910"/>
      <c r="N67" s="2911"/>
      <c r="O67" s="556"/>
      <c r="P67" s="557" t="s">
        <v>618</v>
      </c>
      <c r="Q67" s="557"/>
      <c r="R67" s="60" t="s">
        <v>560</v>
      </c>
      <c r="S67" s="558"/>
      <c r="T67" s="78">
        <v>2.6</v>
      </c>
      <c r="U67" s="1462"/>
      <c r="V67" s="1462"/>
      <c r="W67" s="486"/>
      <c r="X67" s="1487" t="s">
        <v>493</v>
      </c>
    </row>
    <row r="68" spans="1:30" ht="12" customHeight="1">
      <c r="A68" s="2921"/>
      <c r="B68" s="2922"/>
      <c r="C68" s="559"/>
      <c r="D68" s="1507" t="str">
        <f>IF(O61&lt;&gt;"","",IF(OR(Q36="a",Q36="b",Q36="c",Q36="d",Q36=""),"of jointed rock",""))</f>
        <v/>
      </c>
      <c r="E68" s="560"/>
      <c r="F68" s="561"/>
      <c r="G68" s="1305" t="str">
        <f>IF(L64&lt;&gt;"","",IF(AND(Q11&lt;&gt;"",O61&lt;&gt;""),"weakness zone*)",IF(O61&lt;&gt;"","weakness zone","")))</f>
        <v>weakness zone*)</v>
      </c>
      <c r="H68" s="562"/>
      <c r="I68" s="563" t="str">
        <f>IF(J68="weakness zone*)","*) For weakness zone,    ","")</f>
        <v xml:space="preserve">*) For weakness zone,    </v>
      </c>
      <c r="J68" s="1304" t="str">
        <f>IF(L66&lt;&gt;"","",IF(AND(Q11&lt;&gt;"",O61&lt;&gt;""),"weakness zone*)",IF(O61&lt;&gt;"","weakness zone","")))</f>
        <v>weakness zone*)</v>
      </c>
      <c r="K68" s="1361"/>
      <c r="L68" s="539"/>
      <c r="M68" s="539"/>
      <c r="N68" s="537"/>
      <c r="O68" s="556"/>
      <c r="P68" s="565"/>
      <c r="Q68" s="565"/>
      <c r="R68" s="60" t="s">
        <v>559</v>
      </c>
      <c r="S68" s="558"/>
      <c r="T68" s="78">
        <v>2.2999999999999998</v>
      </c>
      <c r="U68" s="1462"/>
      <c r="V68" s="1462"/>
      <c r="W68" s="486"/>
      <c r="X68" s="1488" t="s">
        <v>663</v>
      </c>
    </row>
    <row r="69" spans="1:30" ht="10.5" customHeight="1">
      <c r="A69" s="2921"/>
      <c r="B69" s="2922"/>
      <c r="C69" s="2931" t="s">
        <v>490</v>
      </c>
      <c r="D69" s="2932"/>
      <c r="E69" s="2933"/>
      <c r="F69" s="546"/>
      <c r="G69" s="566" t="s">
        <v>736</v>
      </c>
      <c r="H69" s="567"/>
      <c r="I69" s="568" t="str">
        <f>IF(J68="weakness zone*)","the effect from arching is","")</f>
        <v>the effect from arching is</v>
      </c>
      <c r="J69" s="569" t="str">
        <f>IF(OR(I66="",I66="-"),"","  in ROOF")</f>
        <v xml:space="preserve">  in ROOF</v>
      </c>
      <c r="K69" s="564"/>
      <c r="L69" s="570" t="str">
        <f>IF(O62="","","← COMPARED SUPPORT →  ")</f>
        <v/>
      </c>
      <c r="M69" s="569" t="str">
        <f>IF(L66="","","in ROOF")</f>
        <v/>
      </c>
      <c r="N69" s="555"/>
      <c r="O69" s="571"/>
      <c r="P69" s="572" t="s">
        <v>619</v>
      </c>
      <c r="Q69" s="573"/>
      <c r="R69" s="573"/>
      <c r="S69" s="558"/>
      <c r="T69" s="78">
        <v>1.6</v>
      </c>
      <c r="U69" s="1462"/>
      <c r="V69" s="1462"/>
      <c r="W69" s="486"/>
    </row>
    <row r="70" spans="1:30" ht="9" customHeight="1">
      <c r="A70" s="2923"/>
      <c r="B70" s="2924"/>
      <c r="C70" s="2519" t="str">
        <f>IF(OR(C91&lt;&gt;"",C92&lt;&gt;"",C93&lt;&gt;"",C94&lt;&gt;""),"See limitations","")</f>
        <v>See limitations</v>
      </c>
      <c r="D70" s="2520"/>
      <c r="E70" s="2521"/>
      <c r="F70" s="574"/>
      <c r="G70" s="1545" t="str">
        <f>IF(OR(F91&lt;&gt;"",F92&lt;&gt;"",F93&lt;&gt;"",F94&lt;&gt;""),"See limitations","")</f>
        <v>See limitations</v>
      </c>
      <c r="H70" s="575"/>
      <c r="I70" s="576" t="str">
        <f>IF(J68="weakness zone*)"," included in the estimate  ","")</f>
        <v xml:space="preserve"> included in the estimate  </v>
      </c>
      <c r="J70" s="1546" t="str">
        <f>IF(OR(I91&lt;&gt;"",I92&lt;&gt;"",I93&lt;&gt;"",I94&lt;&gt;""),"See limitations","")</f>
        <v>See limitations</v>
      </c>
      <c r="K70" s="578"/>
      <c r="L70" s="579" t="str">
        <f>IF(AND(O62&lt;&gt;"",Q36=""),"clear check box","")</f>
        <v/>
      </c>
      <c r="M70" s="577" t="str">
        <f>IF(M69="","",IF(AND(L91="",L93="",L95=""),"","See limitations"))</f>
        <v/>
      </c>
      <c r="N70" s="580"/>
      <c r="O70" s="581"/>
      <c r="P70" s="572" t="s">
        <v>620</v>
      </c>
      <c r="Q70" s="573"/>
      <c r="R70" s="573"/>
      <c r="S70" s="558"/>
      <c r="T70" s="78">
        <v>1.3</v>
      </c>
      <c r="U70" s="1462"/>
      <c r="V70" s="1462"/>
      <c r="W70" s="486"/>
      <c r="X70" s="486"/>
      <c r="Y70" s="582" t="s">
        <v>587</v>
      </c>
      <c r="Z70" s="583"/>
      <c r="AA70" s="303"/>
      <c r="AB70" s="303"/>
      <c r="AC70" s="303"/>
      <c r="AD70" s="584"/>
    </row>
    <row r="71" spans="1:30" ht="11.45" customHeight="1">
      <c r="A71" s="2781" t="s">
        <v>894</v>
      </c>
      <c r="B71" s="2782"/>
      <c r="C71" s="585"/>
      <c r="D71" s="585"/>
      <c r="E71" s="586"/>
      <c r="F71" s="587"/>
      <c r="G71" s="587"/>
      <c r="H71" s="588"/>
      <c r="I71" s="2919" t="str">
        <f>IF(I66="","",IF(K164&gt;7*K160^(0.27*K160^-0.1),"",IF(K164&lt;1.5*SQRT(K160),"Spot bolting",IF(K164&lt;3*SQRT(K160),"Bolts spaced 2 - 3 m",IF(K164&lt;8*SQRT(K160),"Bolts spaced 1.5 - 2 m","-")))))</f>
        <v/>
      </c>
      <c r="J71" s="2669"/>
      <c r="K71" s="2920"/>
      <c r="L71" s="2668" t="str">
        <f>IF(M69="","",IF(OR(Q36="h",Q36="i"),"",IF(Q36="g","Bolts spaced 1 - 1.75 m",IF(Q36="f","Bolts spaced 1.75 - 2.5 m",IF(Q36="e","Bolts spaced 2 - 3 m","")))))</f>
        <v/>
      </c>
      <c r="M71" s="2669"/>
      <c r="N71" s="2670"/>
      <c r="O71" s="589"/>
      <c r="P71" s="572" t="s">
        <v>621</v>
      </c>
      <c r="Q71" s="573"/>
      <c r="R71" s="573"/>
      <c r="S71" s="558"/>
      <c r="T71" s="1212">
        <v>1</v>
      </c>
      <c r="U71" s="1462"/>
      <c r="V71" s="1462"/>
      <c r="W71" s="486"/>
      <c r="X71" s="486"/>
      <c r="Y71" s="590" t="s">
        <v>564</v>
      </c>
      <c r="Z71" s="59"/>
      <c r="AA71" s="59"/>
      <c r="AB71" s="59"/>
      <c r="AC71" s="59"/>
      <c r="AD71" s="591"/>
    </row>
    <row r="72" spans="1:30" ht="11.45" customHeight="1">
      <c r="A72" s="2783"/>
      <c r="B72" s="2784"/>
      <c r="C72" s="2934" t="str">
        <f>IF(OR(D101="",O61&lt;&gt;"",G52&lt;&gt;""),"",IF(L127&gt;80,'RMR support'!D6,IF(L127&gt;60,'RMR support'!D8,IF(L127&gt;40,'RMR support'!D11,IF(L127&gt;20,'RMR support'!D15,'RMR support'!D19)))))</f>
        <v/>
      </c>
      <c r="D72" s="2935"/>
      <c r="E72" s="2936"/>
      <c r="F72" s="2937" t="str">
        <f>IF(OR(G135&lt;=2.34*D129^0.37,G135&lt;=1.35*D129^0.85,G135&gt;=46*D129^0.18,D129&gt;=40),"",IF(D129&gt;6,"Bolts spaced 2.3 m",IF(D129&gt;2,"Bolts spaced 2.1 m",IF(D129&gt;0.6,"Bolts spaced 1.7 m",IF(D129&gt;0.2,"Bolts spaced 1.5 m",IF(D129&gt;0.06,"Bolts spaced 1.3 m",IF(D129&gt;0.02,"Bolts spaced 1.2 m",IF(D129&gt;0.006,"Bolts spaced 1 m","Bolts spaced &lt; 1 m"))))))))</f>
        <v>Bolts spaced 1.7 m</v>
      </c>
      <c r="G72" s="2938"/>
      <c r="H72" s="2939"/>
      <c r="I72" s="2745" t="str">
        <f>IF(I66="","",IF(K164&lt;7*K160^(0.27*K160^-0.1),"",IF(K164&lt;1.5*SQRT(K160),"Spot bolting",IF(K164&lt;4*SQRT(K160),"Bolts spaced 2 - 3 m",IF(K164&lt;15*SQRT(K160),"Bolts spaced 1.5 - 2 m",IF(K164&lt;35*SQRT(K160),"Bolts spaced 1.25 - 1.5 m",IF(K164&lt;250*SQRT(K160),"Bolts spaced 1 - 1.25 m","Special bolting")))))))</f>
        <v>Bolts spaced 1.25 - 1.5 m</v>
      </c>
      <c r="J72" s="2746"/>
      <c r="K72" s="2747"/>
      <c r="L72" s="2765" t="str">
        <f>IF(L66="","",IF(OR(Q36="h",Q36="i"),"","(use end-anchored bolts)"))</f>
        <v/>
      </c>
      <c r="M72" s="2766"/>
      <c r="N72" s="2767"/>
      <c r="O72" s="592"/>
      <c r="P72" s="572" t="s">
        <v>622</v>
      </c>
      <c r="Q72" s="573"/>
      <c r="R72" s="593"/>
      <c r="S72" s="558"/>
      <c r="T72" s="78">
        <v>0.8</v>
      </c>
      <c r="U72" s="1462"/>
      <c r="V72" s="1462"/>
      <c r="W72" s="486"/>
      <c r="X72" s="486"/>
      <c r="Y72" s="594" t="s">
        <v>1016</v>
      </c>
      <c r="Z72" s="59"/>
      <c r="AA72" s="59"/>
      <c r="AB72" s="59"/>
      <c r="AC72" s="59"/>
      <c r="AD72" s="591"/>
    </row>
    <row r="73" spans="1:30" ht="11.45" customHeight="1">
      <c r="A73" s="2783"/>
      <c r="B73" s="2784"/>
      <c r="C73" s="2510" t="str">
        <f>IF(OR(D101="",O61&lt;&gt;"",G52&lt;&gt;""),"",IF(L127&gt;80,'RMR support'!D7,IF(L127&gt;60,'RMR support'!D9,IF(L127&gt;40,'RMR support'!D12,IF(L127&gt;20,'RMR support'!D16,'RMR support'!D20)))))</f>
        <v/>
      </c>
      <c r="D73" s="2511"/>
      <c r="E73" s="2512"/>
      <c r="F73" s="2768" t="str">
        <f>IF(OR(G135&gt;63*D129^0.06,G135&gt;46*D129^0.18),"",IF(AND(G135&gt;2.3*D129^0.4,G135&gt;1.35*D129^0.85,D129&lt;40),"",IF(OR(G135&lt;=0.65*D129^0.9,G135&lt;=2.3*D129^0.4,D129&gt;100),"Spot bolting",IF(D129&gt;60,"Bolts spaced 4 m",IF(D129&gt;20,"Bolts spaced 3 m",IF(D129&gt;6,"Bolts spaced 2 m",IF(D129&gt;2,"Bolts spaced 1.6 m","??")))))))</f>
        <v/>
      </c>
      <c r="G73" s="2769"/>
      <c r="H73" s="2770"/>
      <c r="I73" s="595"/>
      <c r="J73" s="596" t="str">
        <f>IF(K73="","","Required max. spacing:")</f>
        <v/>
      </c>
      <c r="K73" s="597" t="str">
        <f>IF(I66="","",IF(K65="A","",IF(K65="B",S81,IF(K65="C",S84,""))))</f>
        <v/>
      </c>
      <c r="L73" s="598"/>
      <c r="M73" s="596" t="str">
        <f>IF(N73="","","Required max. spacing:")</f>
        <v/>
      </c>
      <c r="N73" s="599" t="str">
        <f>IF(L66="","",IF(OR(Q36="h",Q36="i"),"",IF(K65="A","",IF(K65="B",S81,IF(K65="C",S84,"")))))</f>
        <v/>
      </c>
      <c r="O73" s="600"/>
      <c r="P73" s="601" t="s">
        <v>623</v>
      </c>
      <c r="Q73" s="602"/>
      <c r="R73" s="603"/>
      <c r="S73" s="604"/>
      <c r="T73" s="122">
        <v>0.5</v>
      </c>
      <c r="U73" s="1462"/>
      <c r="V73" s="1462"/>
      <c r="W73" s="486"/>
      <c r="X73" s="486"/>
      <c r="Y73" s="605" t="s">
        <v>654</v>
      </c>
      <c r="AD73" s="606"/>
    </row>
    <row r="74" spans="1:30" ht="11.45" customHeight="1">
      <c r="A74" s="2785"/>
      <c r="B74" s="2786"/>
      <c r="C74" s="2543" t="str">
        <f>IF(OR(D101="",O61&lt;&gt;"",G52&lt;&gt;""),"",IF(L127&gt;60,'RMR support'!D10,IF(L127&gt;40,'RMR support'!D13,IF(L127&gt;20,'RMR support'!D17,'RMR support'!D21))))</f>
        <v/>
      </c>
      <c r="D74" s="2544"/>
      <c r="E74" s="2545"/>
      <c r="F74" s="607"/>
      <c r="G74" s="608" t="str">
        <f>IF(AND(F73="",F72=""),"","Bolt length =")</f>
        <v>Bolt length =</v>
      </c>
      <c r="H74" s="609">
        <f>IF(G74="","",1.3+G61/5.26)</f>
        <v>3.2011406844106465</v>
      </c>
      <c r="I74" s="610"/>
      <c r="J74" s="611" t="str">
        <f>IF(I66="","","Bolt length =")</f>
        <v>Bolt length =</v>
      </c>
      <c r="K74" s="612">
        <f>IF(J74="","",IF(O61="",1.3+0.17*G61+G61/10/(5.6*E160)^0.9,1.3+0.17*G61+G61/10/(5.6*G168)^0.9))</f>
        <v>6.3529785543817674</v>
      </c>
      <c r="L74" s="613"/>
      <c r="M74" s="611" t="str">
        <f>IF(L66="","",IF(OR(Q36="h",Q36="i"),"","Bolt length ="))</f>
        <v/>
      </c>
      <c r="N74" s="614" t="str">
        <f>IF(M74="","",1.3+0.17*G135+G135/10/(5.6*E160)^0.9)</f>
        <v/>
      </c>
      <c r="O74" s="615"/>
      <c r="P74" s="616" t="s">
        <v>638</v>
      </c>
      <c r="T74" s="584"/>
      <c r="U74" s="1462"/>
      <c r="V74" s="1462"/>
      <c r="W74" s="486"/>
      <c r="X74" s="486"/>
      <c r="Y74" s="605" t="s">
        <v>655</v>
      </c>
      <c r="Z74" s="617"/>
      <c r="AA74" s="617"/>
      <c r="AB74" s="617"/>
      <c r="AC74" s="230"/>
      <c r="AD74" s="334"/>
    </row>
    <row r="75" spans="1:30" ht="11.45" customHeight="1">
      <c r="A75" s="2781" t="s">
        <v>895</v>
      </c>
      <c r="B75" s="2782"/>
      <c r="C75" s="2742" t="str">
        <f>IF(OR(D101="",O61&lt;&gt;"",G52&lt;&gt;""),"",IF(L127&gt;60,'RMR support'!F9,IF(L127&gt;40,'RMR support'!F12,IF(L127&gt;20,'RMR support'!F16,'RMR support'!F20))))</f>
        <v/>
      </c>
      <c r="D75" s="2743"/>
      <c r="E75" s="2744"/>
      <c r="F75" s="2507" t="str">
        <f>IF(OR(G135&lt;2.3*D129^0.4,G135&gt;46*D129^0.18,G135&lt;0.08*D129^1.35,D129&gt;40),"",IF(G135&lt;=3.54*D129^0.79,"50 - 60 mm thick",IF(G135&lt;=7.8*D129^0.69,"60 - 80 mm thick",IF(G135&lt;=13.6*D129^0.67,"80 - 100 mm thick",IF(G135&lt;=23*D129^0.63,"100 - 120 mm thick",IF(G135&lt;=43*D129^0.6,"120 - 150 mm thick",IF(G135&lt;=58*D129^0.4,"150 - 250 mm thick","special shotcrete")))))))</f>
        <v>80 - 100 mm thick</v>
      </c>
      <c r="G75" s="2508"/>
      <c r="H75" s="2509"/>
      <c r="I75" s="2557" t="str">
        <f>IF(I66="","",IF(K164&lt;7*K160^(0.27*K160^-0.1),"",IF(K164&lt;9*K160^0.38,"40 - 50 mm thick",IF(K164&lt;13*K160^0.47,"50 - 60 mm thick",IF(K164&lt;17*K160^0.5,"60 - 75 mm thick",IF(K164&lt;30*K160^0.5,"75 - 100 mm thick",IF(K164&lt;60*K160^0.5,"100 - 150 mm thick",IF(K164&lt;160*K160^0.5,"150 - 250 mm thick","Special shotcrete design"))))))))</f>
        <v>75 - 100 mm thick</v>
      </c>
      <c r="J75" s="2558"/>
      <c r="K75" s="2559"/>
      <c r="L75" s="2668" t="str">
        <f>IF(M69="","",IF(OR(Q36="h",Q36="i"),"",IF(Q36="e","50 - 75 mm thick",IF(Q36="f","75 - 150 mm thick",IF(Q36="g","150 - 200 mm thick","")))))</f>
        <v/>
      </c>
      <c r="M75" s="2669"/>
      <c r="N75" s="2670"/>
      <c r="O75" s="618"/>
      <c r="P75" s="354"/>
      <c r="T75" s="1213"/>
      <c r="U75" s="1462"/>
      <c r="V75" s="1462"/>
      <c r="W75" s="486"/>
      <c r="X75" s="619"/>
      <c r="Y75" s="1470" t="s">
        <v>588</v>
      </c>
      <c r="AD75" s="334"/>
    </row>
    <row r="76" spans="1:30" ht="11.45" customHeight="1">
      <c r="A76" s="2783"/>
      <c r="B76" s="2784"/>
      <c r="C76" s="2522" t="str">
        <f>IF(OR(O61&lt;&gt;"",G52&lt;&gt;""),"",IF(L127&gt;80,"",IF(L127&gt;60,"",IF(L127&gt;40,"",IF(L127&gt;20,"",'RMR support'!F22)))))</f>
        <v/>
      </c>
      <c r="D76" s="2523"/>
      <c r="E76" s="2524"/>
      <c r="F76" s="587"/>
      <c r="G76" s="587"/>
      <c r="H76" s="587"/>
      <c r="I76" s="2552" t="str">
        <f>IF(K76="","","Required min. thickness:")</f>
        <v/>
      </c>
      <c r="J76" s="2553"/>
      <c r="K76" s="622" t="str">
        <f>IF(I66="","",IF(K65="A","",IF(K65="B",S80,IF(K65="C",S83,""))))</f>
        <v/>
      </c>
      <c r="L76" s="623"/>
      <c r="M76" s="596" t="str">
        <f>IF(N76="","","Required min. thickness:")</f>
        <v/>
      </c>
      <c r="N76" s="624" t="str">
        <f>IF(L66="","",IF(OR(Q36="h",Q36="i"),"",IF(K65="A","",IF(K65="B",S80,IF(K65="C",S83,"")))))</f>
        <v/>
      </c>
      <c r="O76" s="625"/>
      <c r="P76" s="1214" t="s">
        <v>957</v>
      </c>
      <c r="Q76" s="363"/>
      <c r="R76" s="363"/>
      <c r="S76" s="363"/>
      <c r="T76" s="1215"/>
      <c r="U76" s="1462"/>
      <c r="V76" s="1462"/>
      <c r="W76" s="486"/>
      <c r="X76" s="619"/>
      <c r="Y76" s="1471" t="s">
        <v>656</v>
      </c>
      <c r="AD76" s="334"/>
    </row>
    <row r="77" spans="1:30" ht="11.45" customHeight="1">
      <c r="A77" s="2785"/>
      <c r="B77" s="2786"/>
      <c r="C77" s="2525"/>
      <c r="D77" s="2526"/>
      <c r="E77" s="2527"/>
      <c r="F77" s="2971" t="str">
        <f>IF(AND(G135&gt;3.54*D129^0.79,G135&lt;46*D129^0.18),"(use fibre reinforcement)","")</f>
        <v>(use fibre reinforcement)</v>
      </c>
      <c r="G77" s="2972"/>
      <c r="H77" s="2973"/>
      <c r="I77" s="2554" t="str">
        <f>IF(I66="","",IF(OR(I75="",I75="special shotcrete"),"",IF(K164&lt;10*K160^(0.27*K160^-0.1),"",IF(K164&gt;K160^1.35,"(use fibre reinforcement)",""))))</f>
        <v>(use fibre reinforcement)</v>
      </c>
      <c r="J77" s="2555"/>
      <c r="K77" s="2556"/>
      <c r="L77" s="2787" t="str">
        <f>IF(L75="","",IF(OR(Q36="h",Q36="i"),"","(use fibre reinforcement)"))</f>
        <v/>
      </c>
      <c r="M77" s="2788"/>
      <c r="N77" s="2789"/>
      <c r="O77" s="592"/>
      <c r="P77" s="626" t="s">
        <v>555</v>
      </c>
      <c r="Q77" s="214"/>
      <c r="R77" s="214"/>
      <c r="S77" s="627"/>
      <c r="T77" s="2505" t="s">
        <v>171</v>
      </c>
      <c r="U77" s="1462"/>
      <c r="V77" s="1462"/>
      <c r="W77" s="486"/>
      <c r="X77" s="619"/>
      <c r="Y77" s="1471" t="s">
        <v>657</v>
      </c>
      <c r="AD77" s="334"/>
    </row>
    <row r="78" spans="1:30" ht="12" customHeight="1">
      <c r="A78" s="629"/>
      <c r="B78" s="630"/>
      <c r="C78" s="2528" t="s">
        <v>639</v>
      </c>
      <c r="D78" s="2529"/>
      <c r="E78" s="2530"/>
      <c r="F78" s="2977" t="s">
        <v>640</v>
      </c>
      <c r="G78" s="2978"/>
      <c r="H78" s="2979"/>
      <c r="I78" s="2562" t="str">
        <f>IF(OR(I66="",I66="-"),"","Support in WALLS")</f>
        <v>Support in WALLS</v>
      </c>
      <c r="J78" s="2563"/>
      <c r="K78" s="2564"/>
      <c r="L78" s="2969" t="str">
        <f>IF(L66="","","Support in WALLS")</f>
        <v/>
      </c>
      <c r="M78" s="2563"/>
      <c r="N78" s="2970"/>
      <c r="O78" s="631"/>
      <c r="P78" s="325"/>
      <c r="Q78" s="632"/>
      <c r="R78" s="1243" t="s">
        <v>808</v>
      </c>
      <c r="S78" s="633"/>
      <c r="T78" s="2506"/>
      <c r="U78" s="1462"/>
      <c r="V78" s="1462"/>
      <c r="W78" s="486"/>
      <c r="X78" s="619"/>
      <c r="Y78" s="1471" t="s">
        <v>658</v>
      </c>
      <c r="AD78" s="334"/>
    </row>
    <row r="79" spans="1:30" ht="11.45" customHeight="1">
      <c r="A79" s="2781" t="s">
        <v>896</v>
      </c>
      <c r="B79" s="2782"/>
      <c r="C79" s="2893" t="str">
        <f>IF(OR(D101="",O61&lt;&gt;"",G52&lt;&gt;""),"",IF(L127&gt;80,'RMR support'!D6,IF(L127&gt;60,"",IF(L127&gt;40,'RMR support'!D11,IF(L127&gt;20,'RMR support'!D15,'RMR support'!D19)))))</f>
        <v/>
      </c>
      <c r="D79" s="2894"/>
      <c r="E79" s="2895"/>
      <c r="F79" s="2507" t="str">
        <f>IF(OR(G136&lt;=2.34*D133^0.37,G136&lt;=1.35*D133^0.85,G136&gt;=46*D133^0.18,D133&gt;=40),"",IF(D133&gt;6,"Bolts spaced 2.3 m",IF(D133&gt;2,"Bolts spaced 2.1 m",IF(D133&gt;0.6,"Bolts spaced 1.7 m",IF(D133&gt;0.2,"Bolts spaced 1.5m",IF(D133&gt;0.06,"Bolts spaced 1.3 m",IF(D133&gt;0.02,"Bolts spaced 1.2 m",IF(D133&gt;0.006,"Bolts spaced 1 m","Bolts spaced &lt; 1 m"))))))))</f>
        <v>Bolts spaced 2.1 m</v>
      </c>
      <c r="G79" s="2508"/>
      <c r="H79" s="2509"/>
      <c r="I79" s="2549" t="str">
        <f>IF(I66="","",IF(K166&gt;7*K162^(0.27*K162^-0.1),"",IF(K166&lt;1.5*SQRT(K162),"Spot bolting",IF(K166&lt;3*SQRT(K162),"Bolts spaced 2 - 3 m",IF(K166&lt;8*SQRT(K162),"Bolts spaced 1.5 - 2 m","-")))))</f>
        <v/>
      </c>
      <c r="J79" s="2550"/>
      <c r="K79" s="2551"/>
      <c r="L79" s="2560" t="str">
        <f>IF(M69="","",IF(OR(Q36="h",Q36="i"),"",IF(Q36="g","Bolts spaced 1 - 1.75 m",IF(Q36="f","Bolts spaced 1.75 - 2.5 m",IF(Q36="e","Bolts spaced 2 - 3 m","")))))</f>
        <v/>
      </c>
      <c r="M79" s="2550"/>
      <c r="N79" s="2561"/>
      <c r="O79" s="382"/>
      <c r="P79" s="1216" t="s">
        <v>554</v>
      </c>
      <c r="Q79" s="214"/>
      <c r="R79" s="214"/>
      <c r="S79" s="634"/>
      <c r="T79" s="2505" t="s">
        <v>172</v>
      </c>
      <c r="U79" s="1462"/>
      <c r="V79" s="1462"/>
      <c r="W79" s="486"/>
      <c r="X79" s="619"/>
      <c r="Y79" s="1471" t="s">
        <v>659</v>
      </c>
      <c r="AD79" s="334"/>
    </row>
    <row r="80" spans="1:30" ht="11.45" customHeight="1">
      <c r="A80" s="2783"/>
      <c r="B80" s="2784"/>
      <c r="C80" s="2510" t="str">
        <f>IF(OR(D101="",O61&lt;&gt;"",G52&lt;&gt;""),"",IF(L127&gt;80,'RMR support'!D7,IF(L127&gt;60,"",IF(L127&gt;40,'RMR support'!D12,IF(L127&gt;20,'RMR support'!D16,'RMR support'!D20)))))</f>
        <v/>
      </c>
      <c r="D80" s="2511"/>
      <c r="E80" s="2512"/>
      <c r="F80" s="2768" t="str">
        <f>IF(OR(G136&gt;63*D133^0.06,G136&gt;46*D133^0.18),"",IF(AND(G136&gt;2.3*D133^0.4,G136&gt;1.35*D133^0.85,D133&lt;40),"",IF(OR(G136&lt;=0.65*D133^0.9,G136&lt;=2.3*D129^0.4,D133&gt;100),"Spot bolting",IF(D133&gt;60,"Bolts spaced 4 m",IF(D133&gt;20,"Bolts spaced 3 m",IF(D133&gt;6,"Bolts spaced 2 m",IF(D133&gt;2,"Bolts spaced 1.6 m","??")))))))</f>
        <v/>
      </c>
      <c r="G80" s="2769"/>
      <c r="H80" s="2770"/>
      <c r="I80" s="2546" t="str">
        <f>IF(I66="","",IF(K166&lt;7*K162^(0.27*K162^-0.1),"",IF(K166&lt;1.5*SQRT(K162),"Spot bolting",IF(K166&lt;4*SQRT(K162),"Bolts spaced 2 - 3 m",IF(K166&lt;15*SQRT(K162),"Bolts spaced 1.5 - 2 m",IF(K166&lt;35*SQRT(K162),"Bolts spaced 1.25 - 1.5 m",IF(K166&lt;200*SQRT(K162),"Bolts spaced 1 - 1.25 m","Special bolting")))))))</f>
        <v>Bolts spaced 1.5 - 2 m</v>
      </c>
      <c r="J80" s="2547"/>
      <c r="K80" s="2548"/>
      <c r="L80" s="2765" t="str">
        <f>IF(L66="","",IF(OR(Q36="h",Q36="i"),"","(use end-anchored bolts)"))</f>
        <v/>
      </c>
      <c r="M80" s="2766"/>
      <c r="N80" s="2767"/>
      <c r="O80" s="592"/>
      <c r="P80" s="1217"/>
      <c r="Q80" s="1217"/>
      <c r="R80" s="1218" t="s">
        <v>809</v>
      </c>
      <c r="S80" s="127">
        <v>80</v>
      </c>
      <c r="T80" s="2505"/>
      <c r="U80" s="1462"/>
      <c r="V80" s="1462"/>
      <c r="W80" s="486"/>
      <c r="X80" s="619"/>
      <c r="Y80" s="1471" t="s">
        <v>768</v>
      </c>
      <c r="AD80" s="334"/>
    </row>
    <row r="81" spans="1:30" ht="11.45" customHeight="1">
      <c r="A81" s="2785"/>
      <c r="B81" s="2786"/>
      <c r="C81" s="2543" t="str">
        <f>IF(OR(D101="",O61&lt;&gt;"",G52&lt;&gt;""),"",IF(L127&gt;80,"",IF(L127&gt;60,"",IF(L127&gt;40,"",IF(L127&gt;20,'RMR support'!D17,'RMR support'!D21)))))</f>
        <v/>
      </c>
      <c r="D81" s="2544"/>
      <c r="E81" s="2545"/>
      <c r="F81" s="635"/>
      <c r="G81" s="636" t="str">
        <f>IF(AND(F73="",F72=""),"","Bolt length =")</f>
        <v>Bolt length =</v>
      </c>
      <c r="H81" s="637">
        <f>IF(G81="","",1.4+((G61+K61)/4)/5.26)</f>
        <v>2.0653992395437264</v>
      </c>
      <c r="I81" s="638"/>
      <c r="J81" s="639" t="str">
        <f>IF(I66="","","Bolt length =")</f>
        <v>Bolt length =</v>
      </c>
      <c r="K81" s="640">
        <f>IF(J81="","",IF(O61="",1.3+0.085*(G61+0.5*K61)+(G61+0.5*K61)/20/(5.6*E160)^0.9,1.3+0.085*(G61+0.5*K61)+(G61+0.5*K61)/20/(5.6*G168)^0.9))</f>
        <v>4.33178713262906</v>
      </c>
      <c r="L81" s="641"/>
      <c r="M81" s="639" t="str">
        <f>IF(L66="","",IF(OR(Q36="h",Q36="i"),"","Bolt length ="))</f>
        <v/>
      </c>
      <c r="N81" s="642" t="str">
        <f>IF(M81="","",1.3+0.085*(G135+0.5*D136)+(G135+0.5*D136)/20/(5.6*E160)^0.9)</f>
        <v/>
      </c>
      <c r="O81" s="643"/>
      <c r="P81" s="644"/>
      <c r="Q81" s="644"/>
      <c r="R81" s="645" t="s">
        <v>810</v>
      </c>
      <c r="S81" s="128">
        <v>2</v>
      </c>
      <c r="T81" s="2506"/>
      <c r="U81" s="1462"/>
      <c r="V81" s="1462"/>
      <c r="W81" s="486"/>
      <c r="X81" s="619"/>
      <c r="Y81" s="1472" t="s">
        <v>565</v>
      </c>
      <c r="Z81" s="59"/>
      <c r="AA81" s="59"/>
      <c r="AB81" s="59"/>
      <c r="AC81" s="59"/>
      <c r="AD81" s="591"/>
    </row>
    <row r="82" spans="1:30" ht="11.45" customHeight="1">
      <c r="A82" s="2983" t="s">
        <v>744</v>
      </c>
      <c r="B82" s="2984"/>
      <c r="C82" s="2742" t="str">
        <f>IF(OR(D101="",O61&lt;&gt;"",G52&lt;&gt;""),"",IF(L127&gt;80,"",IF(L127&gt;60,"",IF(L127&gt;40,'RMR support'!F13,IF(L127&gt;20,'RMR support'!F17,'RMR support'!F21)))))</f>
        <v/>
      </c>
      <c r="D82" s="2743"/>
      <c r="E82" s="2744"/>
      <c r="F82" s="2507" t="str">
        <f>IF(OR(G136&lt;2.3*D133^0.4,G136&gt;46*D133^0.18,G136&lt;0.08*D133^1.35,D133&gt;40),"",IF(G136&lt;=3.54*D133^0.79,"50 - 60 mm thick",IF(G136&lt;=7.8*D133^0.69,"60 - 80 mm thick",IF(G136&lt;=13.6*D133^0.67,"80 - 100 mm thick",IF(G136&lt;=23*D133^0.63,"100 - 120mm thick",IF(G136&lt;=43*D133^0.6,"120 - 150 mm thick",IF(G136&lt;=58*D133^0.4,"150 - 250 mm thick","special shotcrete")))))))</f>
        <v>50 - 60 mm thick</v>
      </c>
      <c r="G82" s="2508"/>
      <c r="H82" s="2509"/>
      <c r="I82" s="2549" t="str">
        <f>IF(I66="","",IF(K166&lt;7*K162^(0.27*K162^-0.1),"",IF(K166&lt;9*K162^0.38,"40 - 50 mm thick",IF(K166&lt;13*K162^0.47,"50 - 60 mm thick",IF(K166&lt;17*K162^0.5,"60 - 75 mm thick",IF(K166&lt;30*K162^0.5,"75 - 100 mm thick",IF(K166&lt;60*K162^0.5,"100 - 150 mm thick",IF(K166&lt;160*K162^0.5,"150 - 250 mm thick","Special shotcrete design"))))))))</f>
        <v>50 - 60 mm thick</v>
      </c>
      <c r="J82" s="2550"/>
      <c r="K82" s="2551"/>
      <c r="L82" s="2560" t="str">
        <f>IF(M69="","",IF(OR(Q36="h",Q36="i"),"",IF(Q36="e","50 - 75 mm thick",IF(Q36="f","75 - 150 mm thick ",IF(Q36="g","150 - 200 mm thick","")))))</f>
        <v/>
      </c>
      <c r="M82" s="2550"/>
      <c r="N82" s="2561"/>
      <c r="O82" s="382"/>
      <c r="P82" s="1216" t="s">
        <v>556</v>
      </c>
      <c r="Q82" s="214"/>
      <c r="R82" s="214"/>
      <c r="S82" s="646"/>
      <c r="T82" s="2505" t="s">
        <v>173</v>
      </c>
      <c r="U82" s="1462"/>
      <c r="V82" s="1462"/>
      <c r="W82" s="486"/>
      <c r="X82" s="619"/>
      <c r="Y82" s="594" t="s">
        <v>769</v>
      </c>
      <c r="Z82" s="617"/>
      <c r="AA82" s="617"/>
      <c r="AB82" s="617"/>
      <c r="AC82" s="230"/>
      <c r="AD82" s="606"/>
    </row>
    <row r="83" spans="1:30" ht="11.45" customHeight="1">
      <c r="A83" s="2985"/>
      <c r="B83" s="2986"/>
      <c r="C83" s="2522" t="str">
        <f>IF(OR(D101="",O61&lt;&gt;"",G52&lt;&gt;""),"",IF(L127&gt;80,"",IF(L127&gt;60,"",IF(L127&gt;40,"",IF(L127&gt;20,"","")))))</f>
        <v/>
      </c>
      <c r="D83" s="2523"/>
      <c r="E83" s="2524"/>
      <c r="F83" s="2980" t="str">
        <f>IF(AND(G136&gt;3.54*D133^0.79,G136&lt;46*D133^0.18),"(use fibre reinforcement)","")</f>
        <v/>
      </c>
      <c r="G83" s="2981"/>
      <c r="H83" s="2982"/>
      <c r="I83" s="2798" t="str">
        <f>IF(I66="","",IF(OR(I82="",I82="special shotcrete"),"",IF(K166&lt;10*K162^(0.27*K162^-0.1),"",IF(K166&gt;K162^1.35,"(use fibre reinforcement)",""))))</f>
        <v>(use fibre reinforcement)</v>
      </c>
      <c r="J83" s="2799"/>
      <c r="K83" s="2800"/>
      <c r="L83" s="2796"/>
      <c r="M83" s="2547"/>
      <c r="N83" s="2797"/>
      <c r="O83" s="382"/>
      <c r="P83" s="1217"/>
      <c r="Q83" s="1217"/>
      <c r="R83" s="1218" t="s">
        <v>809</v>
      </c>
      <c r="S83" s="127">
        <v>150</v>
      </c>
      <c r="T83" s="2505"/>
      <c r="U83" s="1462"/>
      <c r="V83" s="1462"/>
      <c r="W83" s="486"/>
      <c r="X83" s="619"/>
      <c r="Y83" s="594" t="s">
        <v>770</v>
      </c>
      <c r="Z83" s="59"/>
      <c r="AA83" s="59"/>
      <c r="AB83" s="59"/>
      <c r="AC83" s="1473"/>
      <c r="AD83" s="591"/>
    </row>
    <row r="84" spans="1:30" ht="11.45" customHeight="1">
      <c r="A84" s="2987"/>
      <c r="B84" s="2988"/>
      <c r="C84" s="2525"/>
      <c r="D84" s="2526"/>
      <c r="E84" s="2527"/>
      <c r="F84" s="2739"/>
      <c r="G84" s="2740"/>
      <c r="H84" s="2741"/>
      <c r="I84" s="2762"/>
      <c r="J84" s="2763"/>
      <c r="K84" s="2764"/>
      <c r="L84" s="2787" t="str">
        <f>IF(L82="","","(use fibre reinforcement)")</f>
        <v/>
      </c>
      <c r="M84" s="2788"/>
      <c r="N84" s="2789"/>
      <c r="O84" s="592"/>
      <c r="P84" s="647"/>
      <c r="Q84" s="647"/>
      <c r="R84" s="645" t="s">
        <v>810</v>
      </c>
      <c r="S84" s="128">
        <v>1.5</v>
      </c>
      <c r="T84" s="2506"/>
      <c r="U84" s="1462"/>
      <c r="V84" s="1462"/>
      <c r="W84" s="486"/>
      <c r="X84" s="486"/>
      <c r="Y84" s="590" t="s">
        <v>771</v>
      </c>
      <c r="Z84" s="59"/>
      <c r="AA84" s="1474"/>
      <c r="AB84" s="1474"/>
      <c r="AC84" s="1473"/>
      <c r="AD84" s="591"/>
    </row>
    <row r="85" spans="1:30" ht="11.45" customHeight="1">
      <c r="A85" s="2989" t="s">
        <v>897</v>
      </c>
      <c r="B85" s="2990"/>
      <c r="C85" s="2815" t="str">
        <f>IF(OR(D101="",O61&lt;&gt;"",G52&lt;&gt;""),"",IF(L127&gt;80,"",IF(L127&gt;60,"",IF(L127&gt;40,"",IF(L127&gt;20,'RMR support'!H16,'RMR support'!H19)))))</f>
        <v/>
      </c>
      <c r="D85" s="2816"/>
      <c r="E85" s="2817"/>
      <c r="F85" s="2974" t="str">
        <f>IF(G135&gt;=46*D129^0.18,"",IF(G135&gt;=58*D129^0.4,"Concrete lining or",IF(G135&gt;=22*D129^0.67,"Reinforced ribs of shotcrete","")))</f>
        <v/>
      </c>
      <c r="G85" s="2975"/>
      <c r="H85" s="2976"/>
      <c r="I85" s="2812" t="str">
        <f>IF(I66="","",IF(K164&lt;160*SQRT(K160),"",IF(K164&lt;600*SQRT(K160),"Concrete lining, or",IF(AND(K164&gt;=600*SQRT(K160),K164&gt;1),"Shotcrete + concrete lining,","-"))))</f>
        <v/>
      </c>
      <c r="J85" s="2813"/>
      <c r="K85" s="2814"/>
      <c r="L85" s="2801" t="str">
        <f>IF(OR(Q36="h",Q36="i"),"Squeezing requires special"," ")</f>
        <v xml:space="preserve"> </v>
      </c>
      <c r="M85" s="2801"/>
      <c r="N85" s="2802"/>
      <c r="O85" s="589"/>
      <c r="P85" s="1216" t="s">
        <v>557</v>
      </c>
      <c r="Q85" s="214"/>
      <c r="R85" s="214"/>
      <c r="S85" s="634"/>
      <c r="T85" s="2505" t="s">
        <v>174</v>
      </c>
      <c r="U85" s="1462"/>
      <c r="V85" s="1462"/>
      <c r="W85" s="486"/>
      <c r="X85" s="486"/>
      <c r="Y85" s="594" t="s">
        <v>772</v>
      </c>
      <c r="Z85" s="59"/>
      <c r="AA85" s="1474"/>
      <c r="AB85" s="1474"/>
      <c r="AC85" s="1473"/>
      <c r="AD85" s="591"/>
    </row>
    <row r="86" spans="1:30" ht="11.45" customHeight="1">
      <c r="A86" s="2991"/>
      <c r="B86" s="2992"/>
      <c r="C86" s="2815" t="str">
        <f>IF(OR(D101="",O61&lt;&gt;"",G52&lt;&gt;""),"",IF(L127&gt;80,"",IF(L127&gt;60,"",IF(L127&gt;40,"",IF(L127&gt;20,'RMR support'!H17,'RMR support'!H20)))))</f>
        <v/>
      </c>
      <c r="D86" s="2816"/>
      <c r="E86" s="2817"/>
      <c r="F86" s="2803" t="str">
        <f>IF(G135&lt;22*D129^0.67,"",IF(G135&lt;=43*D129^0.6,"RRS I, c/c = 2.9 - 4.0 m",IF(G135&lt;=5*D129^0.5,"RRSII, c/c = 2.3 - 2.9 m",IF(G135&lt;58*D129^0.4,"RRS II, c/c = 1.7 - 2.3 m",IF(G135&lt;46*D129^0.18,"RRS III, c/c = 1.7 to 1.0 m","Special support evaluations needed")))))</f>
        <v/>
      </c>
      <c r="G86" s="2804"/>
      <c r="H86" s="2805"/>
      <c r="I86" s="2821" t="str">
        <f>IF(I66="","",IF(I85="","",IF(I85="Concrete lining, or","Special shotcrete solution",IF(I85="Shotcrete + concrete lining,","Use shotcrete quickly after blast",""))))</f>
        <v/>
      </c>
      <c r="J86" s="2822"/>
      <c r="K86" s="2823"/>
      <c r="L86" s="2794" t="str">
        <f>IF(OR(Q36="h",Q36="i"),"evaluations and support","")</f>
        <v/>
      </c>
      <c r="M86" s="2794"/>
      <c r="N86" s="2795"/>
      <c r="O86" s="592"/>
      <c r="P86" s="648"/>
      <c r="Q86" s="649"/>
      <c r="R86" s="649"/>
      <c r="S86" s="1244" t="s">
        <v>1027</v>
      </c>
      <c r="T86" s="2956"/>
      <c r="U86" s="1462"/>
      <c r="V86" s="1462"/>
      <c r="W86" s="486"/>
      <c r="X86" s="486"/>
      <c r="Y86" s="594" t="s">
        <v>773</v>
      </c>
      <c r="Z86" s="59"/>
      <c r="AA86" s="1474"/>
      <c r="AB86" s="1474"/>
      <c r="AC86" s="1473"/>
      <c r="AD86" s="591"/>
    </row>
    <row r="87" spans="1:30" ht="11.45" customHeight="1">
      <c r="A87" s="2991"/>
      <c r="B87" s="2992"/>
      <c r="C87" s="2522" t="str">
        <f>IF(OR(D101="",O61&lt;&gt;"",G52&lt;&gt;""),"",IF(L127&gt;80,"",IF(L127&gt;60,"",IF(L127&gt;40,"",IF(L127&gt;20,"",'RMR support'!H21)))))</f>
        <v/>
      </c>
      <c r="D87" s="2523"/>
      <c r="E87" s="2524"/>
      <c r="F87" s="587"/>
      <c r="G87" s="1753" t="str">
        <f>IF(F86="","","(RRS  = Reinforced Rib of Shotcrete)")</f>
        <v/>
      </c>
      <c r="H87" s="651"/>
      <c r="I87" s="652" t="str">
        <f>IF(K67="","",IF(I85="Shotcrete + concrete lining,"," Strengthen invert by reinforced concrete and rock bolts",""))</f>
        <v/>
      </c>
      <c r="J87" s="653"/>
      <c r="K87" s="654"/>
      <c r="L87" s="655"/>
      <c r="M87" s="656"/>
      <c r="N87" s="657"/>
      <c r="P87" s="1219"/>
      <c r="S87" s="1220" t="s">
        <v>606</v>
      </c>
      <c r="T87" s="584"/>
      <c r="U87" s="1462"/>
      <c r="V87" s="1462"/>
      <c r="W87" s="486"/>
      <c r="X87" s="486"/>
      <c r="Y87" s="658" t="s">
        <v>774</v>
      </c>
      <c r="Z87" s="659"/>
      <c r="AA87" s="660"/>
      <c r="AB87" s="660"/>
      <c r="AC87" s="661"/>
      <c r="AD87" s="662"/>
    </row>
    <row r="88" spans="1:30" ht="11.45" customHeight="1">
      <c r="A88" s="2991"/>
      <c r="B88" s="2992"/>
      <c r="C88" s="620"/>
      <c r="D88" s="620"/>
      <c r="E88" s="621"/>
      <c r="F88" s="587"/>
      <c r="G88" s="650"/>
      <c r="H88" s="1752" t="str">
        <f>IF(F86="","","see Table III on RRS →")</f>
        <v/>
      </c>
      <c r="I88" s="2818" t="str">
        <f>IF(K67="","",IF(OR(K65="d",I89&lt;&gt;""),"Better use special tailored support solution ?",""))</f>
        <v/>
      </c>
      <c r="J88" s="2819"/>
      <c r="K88" s="2820"/>
      <c r="L88" s="2759" t="str">
        <f>IF(L66="","",IF(K65="d","Special designed extra support",""))</f>
        <v/>
      </c>
      <c r="M88" s="2760"/>
      <c r="N88" s="2761"/>
      <c r="P88" s="1219"/>
      <c r="S88" s="1220"/>
      <c r="T88" s="334"/>
      <c r="U88" s="1462"/>
      <c r="V88" s="1462"/>
      <c r="W88" s="486"/>
      <c r="X88" s="486"/>
      <c r="Y88" s="1472"/>
      <c r="Z88" s="59"/>
      <c r="AA88" s="1474"/>
      <c r="AB88" s="1474"/>
      <c r="AC88" s="1473"/>
      <c r="AD88" s="59"/>
    </row>
    <row r="89" spans="1:30" ht="11.45" customHeight="1">
      <c r="A89" s="2991"/>
      <c r="B89" s="2992"/>
      <c r="C89" s="620"/>
      <c r="D89" s="620"/>
      <c r="E89" s="621"/>
      <c r="F89" s="587"/>
      <c r="G89" s="650"/>
      <c r="H89" s="663"/>
      <c r="I89" s="1786" t="str">
        <f>IF(L63="","",IF(L63&gt;L106," Suggest to use 'Support capacity' for design of rock support",""))</f>
        <v/>
      </c>
      <c r="J89" s="1787"/>
      <c r="K89" s="1788"/>
      <c r="L89" s="664"/>
      <c r="M89" s="664"/>
      <c r="N89" s="665"/>
      <c r="P89" s="1219"/>
      <c r="S89" s="1220"/>
      <c r="T89" s="334"/>
      <c r="U89" s="1462"/>
      <c r="V89" s="1462"/>
      <c r="W89" s="486"/>
      <c r="X89" s="486"/>
      <c r="Y89" s="1472"/>
      <c r="Z89" s="59"/>
      <c r="AA89" s="1474"/>
      <c r="AB89" s="1474"/>
      <c r="AC89" s="1473"/>
      <c r="AD89" s="59"/>
    </row>
    <row r="90" spans="1:30" ht="11.45" customHeight="1">
      <c r="A90" s="666" t="s">
        <v>1026</v>
      </c>
      <c r="B90" s="667"/>
      <c r="C90" s="668"/>
      <c r="D90" s="668"/>
      <c r="E90" s="669"/>
      <c r="F90" s="587"/>
      <c r="G90" s="670"/>
      <c r="H90" s="671"/>
      <c r="I90" s="1275" t="str">
        <f>IF(AND(Q11="",Q38=""),"",IF(OR(Q34="e",Q34="f",Q34="g")," Suggest draining and/or grouting the water inflow",IF(AND(Q38&lt;&gt;"",O61=""),"",IF(Q46="e"," Suggest draining and/or grouting the water inflow",""))))</f>
        <v/>
      </c>
      <c r="J90" s="672"/>
      <c r="K90" s="673"/>
      <c r="L90" s="674"/>
      <c r="M90" s="675"/>
      <c r="N90" s="1364" t="str">
        <f>IF(I85="","","Better use special tailored support solution ?")</f>
        <v/>
      </c>
      <c r="O90" s="676"/>
      <c r="T90" s="334"/>
      <c r="U90" s="1462"/>
      <c r="V90" s="1462"/>
      <c r="W90" s="486"/>
      <c r="X90" s="486"/>
    </row>
    <row r="91" spans="1:30" ht="10.5" customHeight="1">
      <c r="A91" s="2824" t="s">
        <v>898</v>
      </c>
      <c r="B91" s="2825"/>
      <c r="C91" s="677" t="str">
        <f>J128</f>
        <v>Weakzone: RMR limit and support is unclear</v>
      </c>
      <c r="D91" s="678"/>
      <c r="E91" s="679"/>
      <c r="F91" s="680" t="str">
        <f>IF(C137="","",C137)</f>
        <v>Weak zone may need further evaluations</v>
      </c>
      <c r="G91" s="681"/>
      <c r="H91" s="682"/>
      <c r="I91" s="1365" t="str">
        <f>IF(K167="","",K167)</f>
        <v>Weak zone may need further evaluations</v>
      </c>
      <c r="J91" s="683"/>
      <c r="K91" s="684"/>
      <c r="L91" s="2790" t="str">
        <f>IF(R51="","",IF(OR(Q36="e",Q36="f",Q36="g"),"Rock bursting acts mainly in overstressed, massive rock or slightly jointed rock masses",""))</f>
        <v/>
      </c>
      <c r="M91" s="2791"/>
      <c r="N91" s="2792"/>
      <c r="O91" s="685"/>
      <c r="P91" s="2957" t="s">
        <v>959</v>
      </c>
      <c r="Q91" s="2958"/>
      <c r="R91" s="2958"/>
      <c r="S91" s="2958"/>
      <c r="T91" s="2959"/>
      <c r="U91" s="1462"/>
      <c r="V91" s="1462"/>
      <c r="W91" s="486"/>
      <c r="X91" s="486"/>
    </row>
    <row r="92" spans="1:30" ht="10.5" customHeight="1">
      <c r="A92" s="2826"/>
      <c r="B92" s="2827"/>
      <c r="C92" s="686" t="str">
        <f>J129</f>
        <v/>
      </c>
      <c r="D92" s="687"/>
      <c r="E92" s="688"/>
      <c r="F92" s="689" t="str">
        <f>IF(C138="","",C138)</f>
        <v/>
      </c>
      <c r="G92" s="690"/>
      <c r="H92" s="691"/>
      <c r="I92" s="692" t="str">
        <f>K168</f>
        <v/>
      </c>
      <c r="J92" s="693"/>
      <c r="K92" s="694"/>
      <c r="L92" s="2793"/>
      <c r="M92" s="2757"/>
      <c r="N92" s="2758"/>
      <c r="O92" s="685"/>
      <c r="P92" s="697"/>
      <c r="Q92" s="698"/>
      <c r="R92" s="699" t="s">
        <v>614</v>
      </c>
      <c r="S92" s="699"/>
      <c r="T92" s="1221"/>
      <c r="U92" s="1462"/>
      <c r="V92" s="1462"/>
      <c r="W92" s="486"/>
      <c r="X92" s="486"/>
      <c r="Y92" s="1475"/>
    </row>
    <row r="93" spans="1:30" ht="10.5" customHeight="1">
      <c r="A93" s="2826"/>
      <c r="B93" s="2827"/>
      <c r="C93" s="700" t="str">
        <f>IF(C139="","",J132)</f>
        <v/>
      </c>
      <c r="D93" s="687"/>
      <c r="E93" s="688"/>
      <c r="F93" s="2882" t="str">
        <f>IF(C139="","",C139)</f>
        <v/>
      </c>
      <c r="G93" s="2883"/>
      <c r="H93" s="2884"/>
      <c r="I93" s="2806" t="str">
        <f>IF(K171="","",K171)</f>
        <v/>
      </c>
      <c r="J93" s="2807"/>
      <c r="K93" s="2808"/>
      <c r="L93" s="2757" t="str">
        <f>IF(K169="","",K169)</f>
        <v/>
      </c>
      <c r="M93" s="2757"/>
      <c r="N93" s="2758"/>
      <c r="O93" s="701"/>
      <c r="P93" s="702" t="s">
        <v>590</v>
      </c>
      <c r="Q93" s="326" t="s">
        <v>754</v>
      </c>
      <c r="R93" s="326"/>
      <c r="S93" s="326"/>
      <c r="T93" s="1222"/>
      <c r="U93" s="1462"/>
      <c r="V93" s="1462"/>
      <c r="W93" s="486"/>
      <c r="X93" s="486"/>
      <c r="Y93" s="1475"/>
    </row>
    <row r="94" spans="1:30" ht="10.5" customHeight="1">
      <c r="A94" s="2828"/>
      <c r="B94" s="2829"/>
      <c r="C94" s="703" t="str">
        <f>J130</f>
        <v/>
      </c>
      <c r="D94" s="704"/>
      <c r="E94" s="705"/>
      <c r="F94" s="2885"/>
      <c r="G94" s="2886"/>
      <c r="H94" s="2887"/>
      <c r="I94" s="2809"/>
      <c r="J94" s="2810"/>
      <c r="K94" s="2811"/>
      <c r="L94" s="2757"/>
      <c r="M94" s="2757"/>
      <c r="N94" s="2758"/>
      <c r="O94" s="701"/>
      <c r="P94" s="706" t="s">
        <v>591</v>
      </c>
      <c r="Q94" s="60" t="s">
        <v>755</v>
      </c>
      <c r="R94" s="60"/>
      <c r="S94" s="60"/>
      <c r="T94" s="1223"/>
      <c r="U94" s="1462"/>
      <c r="V94" s="1462"/>
      <c r="W94" s="486"/>
      <c r="X94" s="486"/>
      <c r="Y94" s="1475"/>
    </row>
    <row r="95" spans="1:30" ht="10.5" customHeight="1">
      <c r="A95" s="707"/>
      <c r="B95" s="528"/>
      <c r="C95" s="2708" t="s">
        <v>731</v>
      </c>
      <c r="D95" s="2709"/>
      <c r="E95" s="2710"/>
      <c r="F95" s="708" t="s">
        <v>117</v>
      </c>
      <c r="G95" s="1285">
        <f>D129</f>
        <v>0.89559105250852811</v>
      </c>
      <c r="H95" s="709" t="str">
        <f>F129</f>
        <v>very poor</v>
      </c>
      <c r="I95" s="710" t="s">
        <v>148</v>
      </c>
      <c r="J95" s="1282">
        <f>IF(AND(L64&lt;&gt;"",O62=""),"",K160)</f>
        <v>2.1500111942820852</v>
      </c>
      <c r="K95" s="711" t="str">
        <f>IF(AND(L64&lt;&gt;"",O62=""),"",M160)</f>
        <v>fair</v>
      </c>
      <c r="L95" s="712" t="str">
        <f>K170</f>
        <v/>
      </c>
      <c r="M95" s="695"/>
      <c r="N95" s="696"/>
      <c r="O95" s="701"/>
      <c r="P95" s="713" t="s">
        <v>592</v>
      </c>
      <c r="Q95" s="714" t="s">
        <v>589</v>
      </c>
      <c r="R95" s="714"/>
      <c r="S95" s="714"/>
      <c r="T95" s="1224"/>
      <c r="U95" s="1462"/>
      <c r="V95" s="1462"/>
      <c r="W95" s="486"/>
      <c r="X95" s="486"/>
      <c r="Y95" s="1475"/>
    </row>
    <row r="96" spans="1:30" ht="10.5" customHeight="1">
      <c r="A96" s="707"/>
      <c r="B96" s="528"/>
      <c r="C96" s="715" t="str">
        <f>IF(OR(D101="",O61&lt;&gt;"",G52&lt;&gt;""),"",IF(L127="input?","",IF(L127&gt;80,'RMR support'!C6,IF(L127&gt;60,'RMR support'!C8,IF(L127&gt;40,'RMR support'!C11,IF(L127&gt;20,'RMR support'!C15,'RMR support'!C19))))))</f>
        <v/>
      </c>
      <c r="D96" s="716"/>
      <c r="E96" s="717"/>
      <c r="F96" s="718" t="s">
        <v>534</v>
      </c>
      <c r="G96" s="1286">
        <f>D133</f>
        <v>2.0026024734496528</v>
      </c>
      <c r="H96" s="719"/>
      <c r="I96" s="720" t="s">
        <v>691</v>
      </c>
      <c r="J96" s="730">
        <f>IF(AND(L64&lt;&gt;"",O62=""),"",K162)</f>
        <v>10.750055971410426</v>
      </c>
      <c r="K96" s="721"/>
      <c r="L96" s="2871"/>
      <c r="M96" s="2872"/>
      <c r="N96" s="2873"/>
      <c r="O96" s="722"/>
      <c r="P96" s="723" t="s">
        <v>1128</v>
      </c>
      <c r="Q96" s="724"/>
      <c r="R96" s="724"/>
      <c r="S96" s="724"/>
      <c r="T96" s="1225"/>
      <c r="U96" s="1462"/>
      <c r="V96" s="1462"/>
      <c r="W96" s="486"/>
      <c r="X96" s="486"/>
      <c r="Y96" s="1475"/>
    </row>
    <row r="97" spans="1:33" ht="10.5" customHeight="1">
      <c r="A97" s="707"/>
      <c r="B97" s="528"/>
      <c r="C97" s="725" t="str">
        <f>IF(OR(D101="",O61&lt;&gt;"",G52&lt;&gt;""),"",IF(L127&gt;80,'RMR support'!C7,IF(L127&gt;60,'RMR support'!C9,IF(L127&gt;40,'RMR support'!C12,IF(L127&gt;20,'RMR support'!C16,'RMR support'!C20)))))</f>
        <v/>
      </c>
      <c r="D97" s="726"/>
      <c r="E97" s="726"/>
      <c r="F97" s="727"/>
      <c r="G97" s="728" t="s">
        <v>563</v>
      </c>
      <c r="H97" s="729">
        <f>G135</f>
        <v>10</v>
      </c>
      <c r="I97" s="720" t="s">
        <v>531</v>
      </c>
      <c r="J97" s="730">
        <f>IF(AND(L64&lt;&gt;"",O62=""),"",K164)</f>
        <v>35.79717456884223</v>
      </c>
      <c r="K97" s="731" t="str">
        <f>IF(AND(L64&lt;&gt;"",O62=""),"",M164)</f>
        <v>fair</v>
      </c>
      <c r="L97" s="2871"/>
      <c r="M97" s="2872"/>
      <c r="N97" s="2873"/>
      <c r="O97" s="733"/>
      <c r="P97" s="728" t="s">
        <v>601</v>
      </c>
      <c r="Q97" s="60" t="s">
        <v>607</v>
      </c>
      <c r="R97" s="60"/>
      <c r="S97" s="60"/>
      <c r="T97" s="1223"/>
      <c r="U97" s="1462"/>
      <c r="V97" s="1462"/>
      <c r="W97" s="486"/>
      <c r="X97" s="486"/>
      <c r="Y97" s="1475"/>
    </row>
    <row r="98" spans="1:33" ht="10.5" customHeight="1">
      <c r="A98" s="707"/>
      <c r="B98" s="528"/>
      <c r="C98" s="734" t="str">
        <f>IF(OR(D101="",O61&lt;&gt;"",G52&lt;&gt;""),"",IF(L127&gt;80,"",IF(L127&gt;60,'RMR support'!C10,IF(L127&gt;40,'RMR support'!C13,IF(L127&gt;20,'RMR support'!C17,'RMR support'!C21)))))</f>
        <v/>
      </c>
      <c r="D98" s="726"/>
      <c r="E98" s="726"/>
      <c r="F98" s="727"/>
      <c r="G98" s="728" t="s">
        <v>641</v>
      </c>
      <c r="H98" s="729">
        <f>G136</f>
        <v>4</v>
      </c>
      <c r="I98" s="735" t="s">
        <v>532</v>
      </c>
      <c r="J98" s="730">
        <f>IF(AND(L64&lt;&gt;"",O62=""),"",K166)</f>
        <v>35.79717456884223</v>
      </c>
      <c r="K98" s="731"/>
      <c r="L98" s="736"/>
      <c r="M98" s="674"/>
      <c r="N98" s="732"/>
      <c r="O98" s="737"/>
      <c r="P98" s="728" t="s">
        <v>602</v>
      </c>
      <c r="Q98" s="60" t="s">
        <v>609</v>
      </c>
      <c r="R98" s="60"/>
      <c r="S98" s="60"/>
      <c r="T98" s="1223"/>
      <c r="U98" s="1462"/>
      <c r="V98" s="1462"/>
      <c r="W98" s="486"/>
      <c r="X98" s="486"/>
      <c r="Y98" s="1475"/>
    </row>
    <row r="99" spans="1:33" ht="10.5" customHeight="1">
      <c r="A99" s="379"/>
      <c r="B99" s="334"/>
      <c r="C99" s="738" t="str">
        <f>IF(OR(D101="",O61&lt;&gt;"",G52&lt;&gt;""),"",IF(L127&gt;80,"",IF(L127&gt;60,"",IF(L127&gt;40,'RMR support'!C14,IF(L127&gt;20,'RMR support'!C18,'RMR support'!C22)))))</f>
        <v/>
      </c>
      <c r="D99" s="726"/>
      <c r="E99" s="726"/>
      <c r="F99" s="727"/>
      <c r="G99" s="739" t="s">
        <v>119</v>
      </c>
      <c r="H99" s="740">
        <f>IF(O61="",D130,E130)</f>
        <v>3.3333333333333333E-2</v>
      </c>
      <c r="I99" s="735" t="s">
        <v>122</v>
      </c>
      <c r="J99" s="1283">
        <f>IF(O61="",L156,E181)</f>
        <v>2.1500111942820852</v>
      </c>
      <c r="K99" s="741" t="str">
        <f>IF(O61="",M156,F181)</f>
        <v>moderate</v>
      </c>
      <c r="L99" s="674"/>
      <c r="M99" s="742"/>
      <c r="N99" s="743"/>
      <c r="O99" s="744"/>
      <c r="P99" s="318" t="s">
        <v>608</v>
      </c>
      <c r="Q99" s="714" t="s">
        <v>610</v>
      </c>
      <c r="R99" s="714"/>
      <c r="S99" s="714"/>
      <c r="T99" s="1226"/>
      <c r="U99" s="1462"/>
      <c r="V99" s="1462"/>
      <c r="W99" s="486"/>
      <c r="X99" s="486"/>
      <c r="Y99" s="1476"/>
    </row>
    <row r="100" spans="1:33" ht="10.5" customHeight="1">
      <c r="A100" s="379"/>
      <c r="B100" s="334"/>
      <c r="C100" s="745" t="str">
        <f>IF(OR(D101="",O61&lt;&gt;"",G52&lt;&gt;""),"",IF(L127&gt;80,"",IF(L127&gt;60,"",IF(L127&gt;40,"",IF(L127&gt;20,"",'RMR support'!C23)))))</f>
        <v/>
      </c>
      <c r="D100" s="746"/>
      <c r="E100" s="747"/>
      <c r="F100" s="360"/>
      <c r="G100" s="363"/>
      <c r="H100" s="671"/>
      <c r="I100" s="748" t="str">
        <f>IF(O61="","","Tz =")</f>
        <v>Tz =</v>
      </c>
      <c r="J100" s="1279">
        <f>IF(O61="","",E172)</f>
        <v>1</v>
      </c>
      <c r="K100" s="1274" t="str">
        <f>IF(O61="","",IF(Q38="","","(zone thickness)"))</f>
        <v>(zone thickness)</v>
      </c>
      <c r="L100" s="749"/>
      <c r="M100" s="750"/>
      <c r="N100" s="751">
        <v>2609</v>
      </c>
      <c r="O100" s="752"/>
      <c r="P100" s="223"/>
      <c r="T100" s="334"/>
      <c r="U100" s="1462"/>
      <c r="V100" s="1462"/>
      <c r="W100" s="486"/>
      <c r="X100" s="2870" t="s">
        <v>955</v>
      </c>
      <c r="Y100" s="2870"/>
      <c r="Z100" s="2870"/>
      <c r="AA100" s="2870"/>
      <c r="AB100" s="2870"/>
      <c r="AC100" s="2870"/>
      <c r="AD100" s="2870"/>
    </row>
    <row r="101" spans="1:33" ht="10.5" customHeight="1">
      <c r="A101" s="753"/>
      <c r="B101" s="754"/>
      <c r="C101" s="755" t="s">
        <v>116</v>
      </c>
      <c r="D101" s="756" t="str">
        <f>IF(OR(O61&lt;&gt;"",G52&lt;&gt;""),"",L127)</f>
        <v/>
      </c>
      <c r="E101" s="757" t="str">
        <f>IF(OR(O61&lt;&gt;"",G52&lt;&gt;""),"",M127)</f>
        <v/>
      </c>
      <c r="F101" s="758"/>
      <c r="G101" s="758" t="s">
        <v>1113</v>
      </c>
      <c r="H101" s="759"/>
      <c r="I101" s="1276"/>
      <c r="J101" s="1277" t="s">
        <v>1114</v>
      </c>
      <c r="K101" s="1278"/>
      <c r="L101" s="758"/>
      <c r="M101" s="758"/>
      <c r="N101" s="760"/>
      <c r="O101" s="214"/>
      <c r="P101" s="61"/>
      <c r="Q101" s="214"/>
      <c r="R101" s="1227"/>
      <c r="S101" s="1228"/>
      <c r="T101" s="334"/>
      <c r="U101" s="1462"/>
      <c r="V101" s="1462"/>
      <c r="W101" s="486"/>
      <c r="X101" s="2870"/>
      <c r="Y101" s="2870"/>
      <c r="Z101" s="2870"/>
      <c r="AA101" s="2870"/>
      <c r="AB101" s="2870"/>
      <c r="AC101" s="2870"/>
      <c r="AD101" s="2870"/>
    </row>
    <row r="102" spans="1:33" ht="13.5" customHeight="1" thickBot="1">
      <c r="A102" s="761"/>
      <c r="B102" s="762"/>
      <c r="C102" s="763" t="str">
        <f>IF(AND(Q11&lt;&gt;"",Q38&lt;&gt;"",O61&lt;&gt;""),"weakness zone*)  = means that arching effect from adjacent rockmasses on zone stability is included in the support estimate","")</f>
        <v>weakness zone*)  = means that arching effect from adjacent rockmasses on zone stability is included in the support estimate</v>
      </c>
      <c r="D102" s="764"/>
      <c r="E102" s="765"/>
      <c r="F102" s="766"/>
      <c r="G102" s="766"/>
      <c r="H102" s="765"/>
      <c r="I102" s="767"/>
      <c r="J102" s="767"/>
      <c r="K102" s="767"/>
      <c r="L102" s="768"/>
      <c r="M102" s="768"/>
      <c r="N102" s="765"/>
      <c r="O102" s="765"/>
      <c r="P102" s="769"/>
      <c r="Q102" s="770"/>
      <c r="R102" s="769"/>
      <c r="S102" s="771"/>
      <c r="T102" s="1229"/>
      <c r="U102" s="1462"/>
      <c r="V102" s="1462"/>
      <c r="W102" s="486"/>
      <c r="X102" s="2870"/>
      <c r="Y102" s="2870"/>
      <c r="Z102" s="2870"/>
      <c r="AA102" s="2870"/>
      <c r="AB102" s="2870"/>
      <c r="AC102" s="2870"/>
      <c r="AD102" s="2870"/>
    </row>
    <row r="103" spans="1:33" ht="11.25" customHeight="1">
      <c r="A103" s="772"/>
      <c r="B103" s="3"/>
      <c r="C103" s="773"/>
      <c r="D103" s="774"/>
      <c r="E103" s="775"/>
      <c r="F103" s="776"/>
      <c r="G103" s="776"/>
      <c r="H103" s="775"/>
      <c r="I103" s="777"/>
      <c r="J103" s="777"/>
      <c r="K103" s="777"/>
      <c r="L103" s="778"/>
      <c r="M103" s="778"/>
      <c r="N103" s="775"/>
      <c r="O103" s="775"/>
      <c r="P103" s="779"/>
      <c r="Q103" s="780"/>
      <c r="R103" s="779"/>
      <c r="S103" s="781"/>
      <c r="T103" s="780"/>
      <c r="U103" s="486"/>
      <c r="V103" s="486"/>
      <c r="W103" s="486"/>
      <c r="X103" s="486"/>
    </row>
    <row r="104" spans="1:33" ht="15" customHeight="1">
      <c r="A104" s="782"/>
      <c r="B104" s="783" t="s">
        <v>929</v>
      </c>
      <c r="C104" s="784"/>
      <c r="D104" s="784"/>
      <c r="E104" s="363"/>
      <c r="F104" s="363"/>
      <c r="G104" s="363"/>
      <c r="H104" s="661"/>
      <c r="I104" s="785"/>
      <c r="J104" s="785"/>
      <c r="K104" s="785"/>
      <c r="L104" s="786"/>
      <c r="M104" s="786"/>
      <c r="N104" s="787"/>
      <c r="O104" s="787"/>
      <c r="P104" s="788"/>
      <c r="Q104" s="363"/>
      <c r="R104" s="789"/>
      <c r="S104" s="790"/>
      <c r="T104" s="363"/>
      <c r="U104" s="486"/>
      <c r="V104" s="486"/>
      <c r="W104" s="486"/>
      <c r="X104" s="486"/>
    </row>
    <row r="105" spans="1:33" ht="12.75" customHeight="1">
      <c r="A105" s="791"/>
      <c r="B105" s="791"/>
      <c r="C105" s="792"/>
      <c r="D105" s="793" t="s">
        <v>932</v>
      </c>
      <c r="E105" s="129">
        <v>6</v>
      </c>
      <c r="F105" s="794" t="s">
        <v>961</v>
      </c>
      <c r="G105" s="795"/>
      <c r="H105" s="796"/>
      <c r="I105" s="793"/>
      <c r="J105" s="793"/>
      <c r="K105" s="797" t="s">
        <v>937</v>
      </c>
      <c r="L105" s="130">
        <v>10</v>
      </c>
      <c r="M105" s="798" t="s">
        <v>647</v>
      </c>
      <c r="N105" s="799"/>
      <c r="O105" s="799"/>
      <c r="P105" s="799"/>
      <c r="Q105" s="800"/>
      <c r="R105" s="801" t="s">
        <v>938</v>
      </c>
      <c r="S105" s="131">
        <v>4</v>
      </c>
      <c r="T105" s="802" t="s">
        <v>647</v>
      </c>
      <c r="X105" s="803"/>
      <c r="AA105" s="804"/>
      <c r="AB105" s="805"/>
      <c r="AC105" s="805"/>
      <c r="AD105" s="805"/>
      <c r="AE105" s="805"/>
      <c r="AF105" s="805"/>
      <c r="AG105" s="805"/>
    </row>
    <row r="106" spans="1:33" ht="12.75" customHeight="1">
      <c r="A106" s="1520"/>
      <c r="B106" s="1521"/>
      <c r="C106" s="230"/>
      <c r="D106" s="1522" t="s">
        <v>943</v>
      </c>
      <c r="E106" s="1523">
        <v>80</v>
      </c>
      <c r="F106" s="1524"/>
      <c r="G106" s="1525"/>
      <c r="H106" s="1525"/>
      <c r="I106" s="1526"/>
      <c r="J106" s="1526"/>
      <c r="K106" s="1526" t="s">
        <v>956</v>
      </c>
      <c r="L106" s="1527">
        <v>2.5</v>
      </c>
      <c r="M106" s="1528"/>
      <c r="N106" s="1529"/>
      <c r="O106" s="1530"/>
      <c r="Q106" s="805"/>
      <c r="R106" s="1531" t="s">
        <v>696</v>
      </c>
      <c r="S106" s="1532">
        <v>1</v>
      </c>
      <c r="T106" s="1533" t="s">
        <v>647</v>
      </c>
      <c r="X106" s="808"/>
      <c r="AA106" s="804"/>
      <c r="AB106" s="805"/>
      <c r="AC106" s="805"/>
      <c r="AD106" s="805"/>
      <c r="AE106" s="805"/>
      <c r="AF106" s="805"/>
      <c r="AG106" s="805"/>
    </row>
    <row r="107" spans="1:33" ht="12.75" customHeight="1">
      <c r="A107" s="1534"/>
      <c r="B107" s="807"/>
      <c r="C107" s="714"/>
      <c r="D107" s="1535" t="s">
        <v>1132</v>
      </c>
      <c r="E107" s="1538">
        <v>5</v>
      </c>
      <c r="F107" s="1539" t="s">
        <v>1134</v>
      </c>
      <c r="G107" s="807"/>
      <c r="H107" s="1536"/>
      <c r="I107" s="806"/>
      <c r="J107" s="806"/>
      <c r="K107" s="1535" t="s">
        <v>1133</v>
      </c>
      <c r="L107" s="1538">
        <v>2</v>
      </c>
      <c r="M107" s="1540" t="s">
        <v>1135</v>
      </c>
      <c r="N107" s="602"/>
      <c r="O107" s="602"/>
      <c r="P107" s="602"/>
      <c r="Q107" s="1537"/>
      <c r="R107" s="602"/>
      <c r="S107" s="807"/>
      <c r="T107" s="807"/>
      <c r="AA107" s="804"/>
      <c r="AB107" s="805"/>
      <c r="AC107" s="805"/>
      <c r="AD107" s="805"/>
      <c r="AE107" s="805"/>
      <c r="AF107" s="805"/>
      <c r="AG107" s="805"/>
    </row>
    <row r="108" spans="1:33" ht="12.75" customHeight="1">
      <c r="A108" s="809"/>
      <c r="H108" s="63"/>
      <c r="I108" s="230"/>
      <c r="J108" s="230"/>
      <c r="M108" s="810"/>
      <c r="Q108" s="805"/>
      <c r="AA108" s="804"/>
      <c r="AB108" s="805"/>
      <c r="AC108" s="805"/>
      <c r="AD108" s="805"/>
      <c r="AE108" s="805"/>
      <c r="AF108" s="805"/>
      <c r="AG108" s="805"/>
    </row>
    <row r="109" spans="1:33" ht="14.25" customHeight="1">
      <c r="A109" s="2771" t="s">
        <v>1239</v>
      </c>
      <c r="B109" s="2771"/>
      <c r="C109" s="2771"/>
      <c r="D109" s="2771"/>
      <c r="E109" s="2771"/>
      <c r="F109" s="2771"/>
      <c r="G109" s="2771"/>
      <c r="H109" s="2771"/>
      <c r="I109" s="2771"/>
      <c r="J109" s="2771"/>
      <c r="K109" s="2771"/>
      <c r="L109" s="2771"/>
      <c r="M109" s="2771"/>
      <c r="N109" s="2771"/>
      <c r="O109" s="2771"/>
      <c r="P109" s="2771"/>
      <c r="Q109" s="2771"/>
      <c r="R109" s="2771"/>
      <c r="S109" s="2771"/>
      <c r="T109" s="2771"/>
      <c r="U109" s="811"/>
      <c r="V109" s="811"/>
      <c r="W109" s="811"/>
      <c r="X109" s="811"/>
      <c r="Y109" s="811"/>
      <c r="Z109" s="811"/>
      <c r="AA109" s="1518"/>
      <c r="AB109" s="1519"/>
      <c r="AC109" s="1519"/>
      <c r="AD109" s="1519"/>
      <c r="AE109" s="1519"/>
      <c r="AF109" s="1519"/>
      <c r="AG109" s="1519"/>
    </row>
    <row r="110" spans="1:33" ht="15">
      <c r="A110" s="812"/>
      <c r="B110" s="2772" t="s">
        <v>458</v>
      </c>
      <c r="C110" s="2772"/>
      <c r="D110" s="2772"/>
      <c r="E110" s="2772"/>
      <c r="F110" s="2772"/>
      <c r="G110" s="2772"/>
      <c r="H110" s="813"/>
      <c r="I110" s="2756" t="s">
        <v>112</v>
      </c>
      <c r="J110" s="2756"/>
      <c r="K110" s="2756"/>
      <c r="L110" s="2756"/>
      <c r="M110" s="2756"/>
      <c r="N110" s="2756"/>
      <c r="O110" s="814"/>
      <c r="P110" s="805"/>
      <c r="AC110" s="805"/>
      <c r="AD110" s="805"/>
      <c r="AE110" s="805"/>
      <c r="AF110" s="805"/>
      <c r="AG110" s="805"/>
    </row>
    <row r="111" spans="1:33" ht="11.45" customHeight="1">
      <c r="A111" s="2748" t="s">
        <v>113</v>
      </c>
      <c r="B111" s="2749"/>
      <c r="C111" s="2750"/>
      <c r="D111" s="2754" t="s">
        <v>653</v>
      </c>
      <c r="E111" s="2779" t="s">
        <v>708</v>
      </c>
      <c r="F111" s="2748" t="s">
        <v>252</v>
      </c>
      <c r="G111" s="2750"/>
      <c r="H111" s="813"/>
      <c r="I111" s="2776" t="s">
        <v>113</v>
      </c>
      <c r="J111" s="2774"/>
      <c r="K111" s="2774"/>
      <c r="L111" s="2774" t="s">
        <v>115</v>
      </c>
      <c r="M111" s="2774" t="s">
        <v>252</v>
      </c>
      <c r="N111" s="2774"/>
      <c r="O111" s="816"/>
      <c r="P111" s="805"/>
      <c r="Q111" s="2778" t="s">
        <v>332</v>
      </c>
      <c r="R111" s="2778"/>
      <c r="S111" s="2778"/>
      <c r="T111" s="2778"/>
      <c r="U111" s="2778"/>
      <c r="V111" s="1445"/>
      <c r="W111" s="1445"/>
      <c r="X111" s="817"/>
      <c r="Y111" s="818"/>
      <c r="Z111" s="819"/>
      <c r="AA111" s="804"/>
      <c r="AB111" s="805"/>
      <c r="AC111" s="805"/>
      <c r="AD111" s="805"/>
      <c r="AE111" s="805"/>
      <c r="AF111" s="805"/>
      <c r="AG111" s="805"/>
    </row>
    <row r="112" spans="1:33" ht="11.45" customHeight="1">
      <c r="A112" s="2751"/>
      <c r="B112" s="2752"/>
      <c r="C112" s="2753"/>
      <c r="D112" s="2755"/>
      <c r="E112" s="2780"/>
      <c r="F112" s="1684" t="s">
        <v>726</v>
      </c>
      <c r="G112" s="1443" t="s">
        <v>1107</v>
      </c>
      <c r="H112" s="820"/>
      <c r="I112" s="2777"/>
      <c r="J112" s="2775"/>
      <c r="K112" s="2775"/>
      <c r="L112" s="2775"/>
      <c r="M112" s="2775"/>
      <c r="N112" s="2775"/>
      <c r="O112" s="821"/>
      <c r="P112" s="805"/>
      <c r="Q112" s="2773" t="s">
        <v>931</v>
      </c>
      <c r="R112" s="2773"/>
      <c r="S112" s="822" t="s">
        <v>930</v>
      </c>
      <c r="T112" s="823"/>
      <c r="U112" s="823"/>
      <c r="V112" s="823"/>
      <c r="W112" s="823"/>
      <c r="X112" s="823"/>
      <c r="Y112" s="823"/>
      <c r="AA112" s="824"/>
      <c r="AB112" s="805"/>
      <c r="AC112" s="805"/>
      <c r="AD112" s="805"/>
      <c r="AE112" s="805"/>
      <c r="AF112" s="805"/>
      <c r="AG112" s="805"/>
    </row>
    <row r="113" spans="1:33" ht="11.45" customHeight="1">
      <c r="A113" s="2598" t="s">
        <v>111</v>
      </c>
      <c r="B113" s="2613"/>
      <c r="C113" s="825" t="str">
        <f>IF(D113="","","RQD =")</f>
        <v>RQD =</v>
      </c>
      <c r="D113" s="826">
        <f>IF(Q11="","",IF(Q11="a",'Parameter tables'!J32,IF(Q11="b",'Parameter tables'!J33,IF(Q11="c",'Parameter tables'!J34,IF(Q11="d",'Parameter tables'!J35,IF(Q11="e",'Parameter tables'!J36,IF(Q11="f",'Parameter tables'!J37,'Parameter tables'!J38)))))))</f>
        <v>82.5</v>
      </c>
      <c r="E113" s="1432"/>
      <c r="F113" s="1685" t="str">
        <f>IF(Q15&lt;&gt;"",110-2.5*Q15,IF(Q14&lt;&gt;"",110-2.5*(S14/36)^-0.333,""))</f>
        <v/>
      </c>
      <c r="G113" s="828">
        <f>IF(Q41&lt;&gt;"",Q41,G167)</f>
        <v>1E-4</v>
      </c>
      <c r="H113" s="829"/>
      <c r="I113" s="2736" t="s">
        <v>634</v>
      </c>
      <c r="J113" s="2737"/>
      <c r="K113" s="830" t="s">
        <v>14</v>
      </c>
      <c r="L113" s="831">
        <f>IF(Q9="",'Parameter tables'!H14,IF(Q9="a",'Parameter tables'!H10,IF(Q9="b",'Parameter tables'!H10,IF(Q9="c",'Parameter tables'!H11,IF(Q9="d",'Parameter tables'!H12,IF(Q9="e",'Parameter tables'!H13,IF(Q9="f",'Parameter tables'!H14,IF(Q9="g",'Parameter tables'!H15,IF(Q9="h",'Parameter tables'!H16,IF(Q9="i",'Parameter tables'!H17,"?"))))))))))</f>
        <v>7</v>
      </c>
      <c r="M113" s="832" t="s">
        <v>330</v>
      </c>
      <c r="N113" s="833"/>
      <c r="O113" s="834"/>
      <c r="P113" s="805"/>
      <c r="Q113" s="835" t="s">
        <v>168</v>
      </c>
      <c r="R113" s="835"/>
      <c r="S113" s="835"/>
      <c r="T113" s="836"/>
      <c r="U113" s="836"/>
      <c r="V113" s="836"/>
      <c r="W113" s="836"/>
      <c r="X113" s="836"/>
      <c r="Y113" s="805"/>
      <c r="Z113" s="804"/>
      <c r="AA113" s="824"/>
      <c r="AB113" s="805"/>
      <c r="AC113" s="805"/>
      <c r="AD113" s="805"/>
      <c r="AE113" s="805"/>
      <c r="AF113" s="805"/>
      <c r="AG113" s="805"/>
    </row>
    <row r="114" spans="1:33" ht="11.45" customHeight="1">
      <c r="A114" s="2600"/>
      <c r="B114" s="2614"/>
      <c r="C114" s="837" t="s">
        <v>848</v>
      </c>
      <c r="D114" s="838">
        <f>IF(Q11="","",IF(Q13&lt;&gt;"",Q13,IF(OR(Q14&lt;&gt;"",Q15&lt;&gt;""),F114,D113)))</f>
        <v>82.5</v>
      </c>
      <c r="E114" s="1433">
        <f>IF(G114="","",IF(G114&gt;100,100,IF(G114&lt;10,10,G114)))</f>
        <v>10</v>
      </c>
      <c r="F114" s="1686" t="str">
        <f>IF(F113="","",IF(F113&gt;100,100,IF(F113&lt;10,10,F113)))</f>
        <v/>
      </c>
      <c r="G114" s="839">
        <f>IF(Q38="","",IF((110-2.5*(G167/'Parameter tables'!M69)^-0.333)&lt;10,10,(110-2.5*(G167/'Parameter tables'!M69)^-0.333)))</f>
        <v>10</v>
      </c>
      <c r="H114" s="840"/>
      <c r="I114" s="841" t="s">
        <v>111</v>
      </c>
      <c r="J114" s="2738" t="s">
        <v>450</v>
      </c>
      <c r="K114" s="2701"/>
      <c r="L114" s="842">
        <f>IF(Q11="","",IF(M114&lt;&gt;"",M114,IF(D114&lt;='Parameter tables'!F32,'Parameter tables'!H32,IF(D114&lt;'Parameter tables'!F33,'Parameter tables'!H33,IF(D114&lt;'Parameter tables'!F34,'Parameter tables'!H34,IF(D114&lt;'Parameter tables'!F35,'Parameter tables'!H35,IF(D114&lt;'Parameter tables'!F36,'Parameter tables'!H36,IF(D114&lt;'Parameter tables'!F37,'Parameter tables'!H37,IF(D114='Parameter tables'!F38,'Parameter tables'!H38,"?")))))))))</f>
        <v>17</v>
      </c>
      <c r="M114" s="843" t="str">
        <f>IF(Q11="","",IF(Q13="","",IF(Q13&lt;='Parameter tables'!F33,'Parameter tables'!H33,IF(Q13&lt;'Parameter tables'!F35,'Parameter tables'!H35,IF(Q13&lt;'Parameter tables'!F37,'Parameter tables'!H37,IF(Q13&lt;'Parameter tables'!F38,'Parameter tables'!H38,"?"))))))</f>
        <v/>
      </c>
      <c r="N114" s="844" t="str">
        <f>IF(M114="","","RQD input")</f>
        <v/>
      </c>
      <c r="O114" s="845"/>
      <c r="P114" s="805"/>
      <c r="Q114" s="846" t="s">
        <v>116</v>
      </c>
      <c r="R114" s="847">
        <v>100</v>
      </c>
      <c r="S114" s="848" t="s">
        <v>137</v>
      </c>
      <c r="T114" s="132">
        <v>80</v>
      </c>
      <c r="U114" s="164" t="s">
        <v>466</v>
      </c>
      <c r="V114" s="165"/>
      <c r="W114" s="165"/>
      <c r="X114" s="165"/>
      <c r="Y114" s="166"/>
      <c r="Z114" s="1744"/>
      <c r="AA114" s="824"/>
      <c r="AB114" s="805"/>
      <c r="AC114" s="805"/>
      <c r="AD114" s="805"/>
      <c r="AE114" s="805"/>
      <c r="AF114" s="805"/>
      <c r="AG114" s="805"/>
    </row>
    <row r="115" spans="1:33" ht="11.45" customHeight="1">
      <c r="A115" s="2598" t="s">
        <v>12</v>
      </c>
      <c r="B115" s="2613"/>
      <c r="C115" s="2731" t="s">
        <v>43</v>
      </c>
      <c r="D115" s="849">
        <f>IF(Q18&lt;&gt;"","",IF(E159&gt;'Parameter tables'!O74,'Parameter tables'!J74,IF(E159&gt;'Parameter tables'!O75,'Parameter tables'!J75,IF(E159&gt;'Parameter tables'!O76,'Parameter tables'!J76,IF(E159&gt;'Parameter tables'!O77,'Parameter tables'!J77,IF(E159&gt;'Parameter tables'!O78,'Parameter tables'!J78,IF(E159&gt;'Parameter tables'!O79,'Parameter tables'!J79,IF(E159&gt;'Parameter tables'!O80,'Parameter tables'!J80,15))))))))</f>
        <v>6</v>
      </c>
      <c r="E115" s="1434"/>
      <c r="F115" s="1413" t="str">
        <f>IF(D115="","","from block volume (Vb)")</f>
        <v>from block volume (Vb)</v>
      </c>
      <c r="G115" s="852"/>
      <c r="H115" s="820"/>
      <c r="I115" s="2581" t="s">
        <v>253</v>
      </c>
      <c r="K115" s="853" t="str">
        <f>IF(L115="","","Sa (from 'Block diameter') =")</f>
        <v>Sa (from 'Block diameter') =</v>
      </c>
      <c r="L115" s="854">
        <f>E160</f>
        <v>0.4304497894596771</v>
      </c>
      <c r="M115" s="855" t="str">
        <f>IF(E159&gt;'Parameter tables'!F60,'Parameter tables'!B59,IF(E159&gt;'Parameter tables'!F61,'Parameter tables'!B60,IF(E159&gt;'Parameter tables'!F62,'Parameter tables'!B61,IF(E159&gt;'Parameter tables'!B62,'Parameter tables'!B62,IF(E159&lt;'Parameter tables'!F63,'Parameter tables'!B63,"?")))))</f>
        <v>Very small spacing</v>
      </c>
      <c r="N115" s="856"/>
      <c r="O115" s="857"/>
      <c r="P115" s="214"/>
      <c r="Q115" s="858" t="s">
        <v>116</v>
      </c>
      <c r="R115" s="859">
        <f>T114</f>
        <v>80</v>
      </c>
      <c r="S115" s="860" t="s">
        <v>137</v>
      </c>
      <c r="T115" s="134">
        <v>60</v>
      </c>
      <c r="U115" s="156" t="s">
        <v>467</v>
      </c>
      <c r="V115" s="157"/>
      <c r="W115" s="157"/>
      <c r="X115" s="157"/>
      <c r="Y115" s="158"/>
      <c r="Z115" s="1744"/>
      <c r="AA115" s="824"/>
      <c r="AB115" s="805"/>
      <c r="AC115" s="805"/>
      <c r="AD115" s="805"/>
      <c r="AE115" s="805"/>
      <c r="AF115" s="805"/>
      <c r="AG115" s="805"/>
    </row>
    <row r="116" spans="1:33" ht="11.45" customHeight="1">
      <c r="A116" s="2599"/>
      <c r="B116" s="2690"/>
      <c r="C116" s="2733"/>
      <c r="D116" s="826" t="str">
        <f>IF(Q18="","",IF(Q18="a",'Parameter tables'!J74,IF(Q18="b",'Parameter tables'!J75,IF(Q18="c",'Parameter tables'!J76,IF(Q18="d",'Parameter tables'!J77,IF(Q18="e",'Parameter tables'!J78,IF(Q18="f",'Parameter tables'!J79,IF(Q18="g",'Parameter tables'!J80,IF(Q18="h",'Parameter tables'!J81,IF(Q18="i",'Parameter tables'!J82,""))))))))))</f>
        <v/>
      </c>
      <c r="E116" s="1434"/>
      <c r="F116" s="1687" t="str">
        <f>IF(D116="","","from input value of Jn")</f>
        <v/>
      </c>
      <c r="G116" s="863"/>
      <c r="H116" s="820"/>
      <c r="I116" s="2582"/>
      <c r="J116" s="864" t="str">
        <f>IF(K116="","","Sa =")</f>
        <v/>
      </c>
      <c r="K116" s="865"/>
      <c r="L116" s="866"/>
      <c r="M116" s="2579" t="str">
        <f>IF(K116="","","(Sa input)")</f>
        <v/>
      </c>
      <c r="N116" s="2580"/>
      <c r="O116" s="867"/>
      <c r="P116" s="805"/>
      <c r="Q116" s="858" t="s">
        <v>116</v>
      </c>
      <c r="R116" s="859">
        <f>T115</f>
        <v>60</v>
      </c>
      <c r="S116" s="860" t="s">
        <v>137</v>
      </c>
      <c r="T116" s="134">
        <v>40</v>
      </c>
      <c r="U116" s="157" t="s">
        <v>181</v>
      </c>
      <c r="V116" s="157"/>
      <c r="W116" s="157"/>
      <c r="X116" s="157"/>
      <c r="Y116" s="158"/>
      <c r="Z116" s="1744"/>
      <c r="AA116" s="804"/>
      <c r="AB116" s="805"/>
      <c r="AC116" s="805"/>
      <c r="AD116" s="805"/>
      <c r="AE116" s="805"/>
      <c r="AF116" s="805"/>
      <c r="AG116" s="805"/>
    </row>
    <row r="117" spans="1:33" ht="11.45" customHeight="1">
      <c r="A117" s="2600"/>
      <c r="B117" s="2614"/>
      <c r="C117" s="868" t="s">
        <v>849</v>
      </c>
      <c r="D117" s="869">
        <f>IF(D115="",D116,D115)</f>
        <v>6</v>
      </c>
      <c r="E117" s="1435">
        <f>IF(Q38="","",IF(G167&gt;'Parameter tables'!O74,'Parameter tables'!J74,IF(G167&gt;'Parameter tables'!O75,'Parameter tables'!J75,IF(G167&gt;'Parameter tables'!O76,'Parameter tables'!J76,IF(G167&gt;'Parameter tables'!O77,'Parameter tables'!J77,IF(G167&gt;'Parameter tables'!O78,'Parameter tables'!J78,IF(G167&gt;'Parameter tables'!O79,'Parameter tables'!J79,IF(G167&gt;'Parameter tables'!O80,'Parameter tables'!J80,'Parameter tables'!J81))))))))</f>
        <v>15</v>
      </c>
      <c r="F117" s="1412" t="str">
        <f>IF(Q18&lt;&gt;"","",IF(E158&gt;'Parameter tables'!O74,'Parameter tables'!B74,IF(E158&gt;'Parameter tables'!O75,'Parameter tables'!B75,IF(E158&gt;'Parameter tables'!O76,'Parameter tables'!B76,IF(E158&gt;'Parameter tables'!O77,'Parameter tables'!B77,IF(E158&gt;'Parameter tables'!O78,'Parameter tables'!B78,IF(E158&gt;'Parameter tables'!O79,'Parameter tables'!B79,IF(E158&gt;'Parameter tables'!O80,'Parameter tables'!B80,15))))))))</f>
        <v>2  joint sets + random joints</v>
      </c>
      <c r="G117" s="872"/>
      <c r="I117" s="2583"/>
      <c r="J117" s="874"/>
      <c r="K117" s="868" t="s">
        <v>857</v>
      </c>
      <c r="L117" s="842">
        <f>IF(Q11="","",IF(L115&gt;='Parameter tables'!F60,'Parameter tables'!H59,IF(L115&gt;'Parameter tables'!F61,'Parameter tables'!H60,IF(L115&gt;'Parameter tables'!F62,'Parameter tables'!H61,IF(L115&gt;'Parameter tables'!F63,'Parameter tables'!H62,'Parameter tables'!H63)))))</f>
        <v>10</v>
      </c>
      <c r="M117" s="875"/>
      <c r="N117" s="876"/>
      <c r="O117" s="877"/>
      <c r="Q117" s="858" t="s">
        <v>116</v>
      </c>
      <c r="R117" s="859">
        <f>T116</f>
        <v>40</v>
      </c>
      <c r="S117" s="860" t="s">
        <v>137</v>
      </c>
      <c r="T117" s="134">
        <v>20</v>
      </c>
      <c r="U117" s="156" t="s">
        <v>468</v>
      </c>
      <c r="V117" s="157"/>
      <c r="W117" s="157"/>
      <c r="X117" s="157"/>
      <c r="Y117" s="158"/>
      <c r="Z117" s="1744"/>
      <c r="AA117" s="824"/>
      <c r="AB117" s="805"/>
      <c r="AC117" s="805"/>
      <c r="AD117" s="805"/>
      <c r="AE117" s="805"/>
      <c r="AF117" s="805"/>
      <c r="AG117" s="805"/>
    </row>
    <row r="118" spans="1:33" ht="11.45" customHeight="1">
      <c r="A118" s="2713" t="s">
        <v>669</v>
      </c>
      <c r="B118" s="2714"/>
      <c r="C118" s="878" t="s">
        <v>60</v>
      </c>
      <c r="D118" s="879">
        <f>IF(Q22="",1.25,IF(Q22="a",'Parameter tables'!J93,IF(Q22="b",'Parameter tables'!J94,IF(Q22="c",'Parameter tables'!J95,IF(Q22="d",'Parameter tables'!J96,IF(Q22="e",'Parameter tables'!J97,IF(Q22="f",'Parameter tables'!J98,IF(Q22="g",'Parameter tables'!J99,"?"))))))))</f>
        <v>1.25</v>
      </c>
      <c r="E118" s="1434"/>
      <c r="F118" s="1414" t="str">
        <f>IF(Q22="","(common value)","")</f>
        <v>(common value)</v>
      </c>
      <c r="G118" s="881"/>
      <c r="H118" s="873" t="str">
        <f>IF(Q18="","",IF(Q18="a",'Parameter tables'!B74,IF(Q18="b",'Parameter tables'!B75,IF(Q18="c",'Parameter tables'!B76,IF(Q18="d",'Parameter tables'!B77,"")))))</f>
        <v/>
      </c>
      <c r="I118" s="882"/>
      <c r="J118" s="883" t="s">
        <v>195</v>
      </c>
      <c r="K118" s="884" t="s">
        <v>80</v>
      </c>
      <c r="L118" s="850">
        <f>IF(Q30="",2,IF(Q30="a",'Parameter tables'!H124,IF(Q30="b",'Parameter tables'!H125,IF(Q30="c",'Parameter tables'!H125,IF(Q30="d",'Parameter tables'!H127,IF(Q30="e",'Parameter tables'!H128,IF(Q30="f",'Parameter tables'!H129,IF(Q30="g",'Parameter tables'!H130,"?"))))))))</f>
        <v>2</v>
      </c>
      <c r="M118" s="885"/>
      <c r="N118" s="886"/>
      <c r="O118" s="887"/>
      <c r="Q118" s="888" t="s">
        <v>116</v>
      </c>
      <c r="R118" s="889">
        <f>T117</f>
        <v>20</v>
      </c>
      <c r="S118" s="890" t="s">
        <v>137</v>
      </c>
      <c r="T118" s="891">
        <v>0</v>
      </c>
      <c r="U118" s="161" t="s">
        <v>469</v>
      </c>
      <c r="V118" s="162"/>
      <c r="W118" s="162"/>
      <c r="X118" s="162"/>
      <c r="Y118" s="163"/>
      <c r="Z118" s="1744"/>
      <c r="AA118" s="824"/>
      <c r="AB118" s="805"/>
      <c r="AC118" s="805"/>
      <c r="AD118" s="805"/>
      <c r="AE118" s="805"/>
      <c r="AF118" s="805"/>
      <c r="AG118" s="805"/>
    </row>
    <row r="119" spans="1:33" ht="11.45" customHeight="1">
      <c r="A119" s="2724"/>
      <c r="B119" s="2725"/>
      <c r="C119" s="892" t="s">
        <v>67</v>
      </c>
      <c r="D119" s="826">
        <f>IF(Q24="",1.4,IF(Q24="a",'Parameter tables'!J101,IF(Q24="b",'Parameter tables'!J102,IF(Q24="c",'Parameter tables'!J103,IF(Q24="d",'Parameter tables'!J104,IF(Q24="e",'Parameter tables'!J105,IF(Q24="f",'Parameter tables'!J106,"?")))))))</f>
        <v>1.4</v>
      </c>
      <c r="E119" s="1436"/>
      <c r="F119" s="1412" t="str">
        <f>IF(Q24="","(common value)","")</f>
        <v>(common value)</v>
      </c>
      <c r="G119" s="852"/>
      <c r="H119" s="873" t="str">
        <f>IF(Q18="","",IF(OR(Q18="a",Q18="b",Q18="c",Q18="d"),"",IF(Q18="e",'Parameter tables'!B78,IF(Q18="f",'Parameter tables'!B79,IF(Q18="g",'Parameter tables'!B80,IF(Q18="h",'Parameter tables'!B81,IF(Q18="i",'Parameter tables'!B82,9)))))))</f>
        <v/>
      </c>
      <c r="I119" s="893"/>
      <c r="J119" s="894" t="s">
        <v>722</v>
      </c>
      <c r="K119" s="895" t="s">
        <v>91</v>
      </c>
      <c r="L119" s="866">
        <f>IF(Q32="",'Parameter tables'!H135,IF(Q32="a",'Parameter tables'!H133,IF(Q32="b",'Parameter tables'!H134,IF(Q32="c",'Parameter tables'!H135,IF(Q32="d",'Parameter tables'!H136,IF(Q32="e",'Parameter tables'!H137,"?"))))))</f>
        <v>4</v>
      </c>
      <c r="M119" s="896"/>
      <c r="N119" s="897"/>
      <c r="O119" s="887"/>
      <c r="Q119" s="818"/>
      <c r="R119" s="898"/>
      <c r="S119" s="818"/>
      <c r="T119" s="818"/>
      <c r="U119" s="818"/>
      <c r="V119" s="818"/>
      <c r="W119" s="818"/>
      <c r="X119" s="818"/>
      <c r="Y119" s="818"/>
      <c r="Z119" s="804"/>
      <c r="AA119" s="824"/>
      <c r="AB119" s="805"/>
      <c r="AC119" s="805"/>
      <c r="AD119" s="805"/>
      <c r="AE119" s="805"/>
      <c r="AF119" s="805"/>
      <c r="AG119" s="805"/>
    </row>
    <row r="120" spans="1:33" ht="11.45" customHeight="1">
      <c r="A120" s="2715"/>
      <c r="B120" s="2716"/>
      <c r="C120" s="899" t="s">
        <v>850</v>
      </c>
      <c r="D120" s="869">
        <f>IF(OR(Q26="i",Q26="k",Q26="m",Q26="o"),1,D118*D119)</f>
        <v>1.75</v>
      </c>
      <c r="E120" s="1437">
        <f>IF(Q44="",'Parameter tables'!J186,IF(Q44="a",'Parameter tables'!J184,IF(Q44="b",'Parameter tables'!J185,IF(Q44="c",'Parameter tables'!J186,IF(Q44="d",'Parameter tables'!J187,IF(Q44="e",'Parameter tables'!J188,IF(Q44="f",'Parameter tables'!J189,IF(Q44="g",'Parameter tables'!J190,""))))))))</f>
        <v>1</v>
      </c>
      <c r="F120" s="1688" t="str">
        <f>IF(OR(Q26="i",Q26="k",Q26="m",Q26="o"),"for filled joints, Jr = 1","")</f>
        <v/>
      </c>
      <c r="G120" s="1444" t="s">
        <v>941</v>
      </c>
      <c r="H120" s="873" t="str">
        <f>IF(F117&lt;&gt;"",F117,IF(H118&lt;&gt;"",H118,IF(H119&lt;&gt;"",H119,"?")))</f>
        <v>2  joint sets + random joints</v>
      </c>
      <c r="I120" s="901"/>
      <c r="J120" s="894" t="s">
        <v>645</v>
      </c>
      <c r="K120" s="864" t="s">
        <v>58</v>
      </c>
      <c r="L120" s="866">
        <f>IF(Q22="",'Parameter tables'!H95,IF(Q22="a",'Parameter tables'!H93,IF(Q22="b",'Parameter tables'!H94,IF(Q22="c",'Parameter tables'!H95,IF(Q22="d",'Parameter tables'!H96,IF(Q22="e",'Parameter tables'!H97,IF(Q22="f",'Parameter tables'!H98,IF(Q22="g",'Parameter tables'!H99,"?"))))))))</f>
        <v>3</v>
      </c>
      <c r="M120" s="896"/>
      <c r="N120" s="897"/>
      <c r="O120" s="887"/>
      <c r="P120" s="902"/>
      <c r="Q120" s="903" t="s">
        <v>169</v>
      </c>
      <c r="R120" s="904"/>
      <c r="S120" s="820"/>
      <c r="T120" s="805"/>
      <c r="U120" s="805"/>
      <c r="V120" s="805"/>
      <c r="W120" s="805"/>
      <c r="X120" s="805"/>
      <c r="Y120" s="805"/>
      <c r="Z120" s="804"/>
      <c r="AA120" s="804"/>
      <c r="AB120" s="805"/>
      <c r="AC120" s="805"/>
      <c r="AD120" s="805"/>
      <c r="AE120" s="805"/>
      <c r="AF120" s="805"/>
      <c r="AG120" s="805"/>
    </row>
    <row r="121" spans="1:33" ht="11.45" customHeight="1">
      <c r="A121" s="2598" t="s">
        <v>134</v>
      </c>
      <c r="B121" s="2613"/>
      <c r="C121" s="2731" t="s">
        <v>73</v>
      </c>
      <c r="D121" s="849">
        <f>IF(Q26="",'Parameter tables'!J110,IF(Q26="a",'Parameter tables'!J109,IF(Q26="b",'Parameter tables'!J110,IF(Q26="c",'Parameter tables'!J111,IF(Q26="d",'Parameter tables'!J112,IF(Q26="e",'Parameter tables'!J113,IF(Q26="f",'Parameter tables'!J114,"")))))))</f>
        <v>1</v>
      </c>
      <c r="E121" s="1438"/>
      <c r="F121" s="1414" t="str">
        <f>IF(Q26="","(common value)","")</f>
        <v>(common value)</v>
      </c>
      <c r="G121" s="852"/>
      <c r="H121" s="873"/>
      <c r="I121" s="2734" t="s">
        <v>452</v>
      </c>
      <c r="J121" s="864" t="s">
        <v>184</v>
      </c>
      <c r="K121" s="905" t="str">
        <f>IF(L121="","","A4d =")</f>
        <v>A4d =</v>
      </c>
      <c r="L121" s="906">
        <f>IF(OR(Q26="",Q26="a",Q26="b",Q26="c",Q26="d",Q26="e",Q26="f"),'Parameter tables'!H109,IF(Q26="h",'Parameter tables'!H117,IF(Q26="j",'Parameter tables'!H118,IF(Q26="l",'Parameter tables'!H119,IF(Q26="n",'Parameter tables'!H120,"")))))</f>
        <v>6</v>
      </c>
      <c r="M121" s="907" t="s">
        <v>448</v>
      </c>
      <c r="N121" s="908">
        <f>L118+L119+L120+L124</f>
        <v>21</v>
      </c>
      <c r="O121" s="909"/>
      <c r="P121" s="910"/>
      <c r="Q121" s="846" t="s">
        <v>117</v>
      </c>
      <c r="R121" s="911">
        <v>1000</v>
      </c>
      <c r="S121" s="848" t="s">
        <v>137</v>
      </c>
      <c r="T121" s="132">
        <v>400</v>
      </c>
      <c r="U121" s="144" t="s">
        <v>470</v>
      </c>
      <c r="V121" s="133"/>
      <c r="W121" s="133"/>
      <c r="X121" s="133"/>
      <c r="Y121" s="143"/>
      <c r="Z121" s="1744"/>
      <c r="AA121" s="824"/>
      <c r="AB121" s="805"/>
      <c r="AC121" s="805"/>
      <c r="AD121" s="805"/>
      <c r="AE121" s="805"/>
      <c r="AF121" s="805"/>
      <c r="AG121" s="805"/>
    </row>
    <row r="122" spans="1:33" ht="11.45" customHeight="1">
      <c r="A122" s="2599"/>
      <c r="B122" s="2690"/>
      <c r="C122" s="2732"/>
      <c r="D122" s="826" t="str">
        <f>IF(Q26="h",'Parameter tables'!J117,IF(Q26="j",'Parameter tables'!J118,IF(Q26="l",'Parameter tables'!J119,IF(Q26="n",'Parameter tables'!J120,""))))</f>
        <v/>
      </c>
      <c r="E122" s="1439"/>
      <c r="F122" s="862" t="str">
        <f>IF(D122="","","filled joint &lt; 5 mm")</f>
        <v/>
      </c>
      <c r="G122" s="863"/>
      <c r="H122" s="873"/>
      <c r="I122" s="2735"/>
      <c r="J122" s="912" t="s">
        <v>185</v>
      </c>
      <c r="K122" s="905" t="str">
        <f>IF(L122="","","A4d =")</f>
        <v/>
      </c>
      <c r="L122" s="866" t="str">
        <f>IF(Q26="","",IF(Q26="i",'Parameter tables'!I117,IF(Q26="k",'Parameter tables'!I118,IF(Q26="m",'Parameter tables'!I119,IF(Q26="o",'Parameter tables'!I120,"")))))</f>
        <v/>
      </c>
      <c r="M122" s="913"/>
      <c r="N122" s="897"/>
      <c r="O122" s="887"/>
      <c r="P122" s="69"/>
      <c r="Q122" s="858" t="s">
        <v>117</v>
      </c>
      <c r="R122" s="914">
        <f t="shared" ref="R122:R127" si="0">T121</f>
        <v>400</v>
      </c>
      <c r="S122" s="860" t="s">
        <v>137</v>
      </c>
      <c r="T122" s="134">
        <v>100</v>
      </c>
      <c r="U122" s="156" t="s">
        <v>471</v>
      </c>
      <c r="V122" s="157"/>
      <c r="W122" s="157"/>
      <c r="X122" s="157"/>
      <c r="Y122" s="158"/>
      <c r="Z122" s="1744"/>
      <c r="AA122" s="804"/>
      <c r="AB122" s="805"/>
      <c r="AC122" s="805"/>
      <c r="AD122" s="805"/>
      <c r="AE122" s="805"/>
      <c r="AF122" s="805"/>
      <c r="AG122" s="805"/>
    </row>
    <row r="123" spans="1:33" ht="11.45" customHeight="1">
      <c r="A123" s="2599"/>
      <c r="B123" s="2690"/>
      <c r="C123" s="2733"/>
      <c r="D123" s="826" t="str">
        <f>IF(Q26="i",'Parameter tables'!K117,IF(Q26="k",'Parameter tables'!K118,IF(Q26="m",'Parameter tables'!K119,IF(Q26="o",'Parameter tables'!K120,""))))</f>
        <v/>
      </c>
      <c r="E123" s="1439"/>
      <c r="F123" s="862" t="str">
        <f>IF(D123="","","filled joint &gt; 5mm")</f>
        <v/>
      </c>
      <c r="G123" s="863"/>
      <c r="H123" s="873"/>
      <c r="I123" s="2607" t="s">
        <v>331</v>
      </c>
      <c r="J123" s="2608"/>
      <c r="K123" s="2609"/>
      <c r="L123" s="866">
        <f>IF(Q26="",'Parameter tables'!H110,IF(Q26="a",'Parameter tables'!H109,IF(Q26="b",'Parameter tables'!H110,IF(Q26="c",'Parameter tables'!H111,IF(Q26="d",'Parameter tables'!H112,IF(Q26="e",'Parameter tables'!H113,IF(Q26="f",'Parameter tables'!H114,'Parameter tables'!H114)))))))</f>
        <v>6</v>
      </c>
      <c r="M123" s="896"/>
      <c r="N123" s="897"/>
      <c r="O123" s="887"/>
      <c r="P123" s="69"/>
      <c r="Q123" s="858" t="s">
        <v>117</v>
      </c>
      <c r="R123" s="914">
        <f t="shared" si="0"/>
        <v>100</v>
      </c>
      <c r="S123" s="860" t="s">
        <v>137</v>
      </c>
      <c r="T123" s="134">
        <v>40</v>
      </c>
      <c r="U123" s="156" t="s">
        <v>466</v>
      </c>
      <c r="V123" s="157"/>
      <c r="W123" s="157"/>
      <c r="X123" s="157"/>
      <c r="Y123" s="158"/>
      <c r="Z123" s="1744"/>
      <c r="AA123" s="804"/>
      <c r="AB123" s="805"/>
      <c r="AC123" s="805"/>
      <c r="AD123" s="805"/>
      <c r="AE123" s="805"/>
      <c r="AF123" s="805"/>
      <c r="AG123" s="805"/>
    </row>
    <row r="124" spans="1:33" ht="11.45" customHeight="1">
      <c r="A124" s="2600"/>
      <c r="B124" s="2614"/>
      <c r="C124" s="868" t="s">
        <v>851</v>
      </c>
      <c r="D124" s="869">
        <f>SUM(D121:D123)</f>
        <v>1</v>
      </c>
      <c r="E124" s="1435">
        <f>IF(Q44="",'Parameter tables'!K186,IF(Q44="a",'Parameter tables'!K184,IF(Q44="b",'Parameter tables'!K185,IF(Q44="c",'Parameter tables'!K186,IF(Q44="d",'Parameter tables'!K187,IF(Q44="e",'Parameter tables'!K188,IF(Q44="f",'Parameter tables'!K189,IF(Q44="g",'Parameter tables'!K190,""))))))))</f>
        <v>4</v>
      </c>
      <c r="F124" s="1416" t="str">
        <f>IF(Q26="",'Parameter tables'!B110,IF(Q26="a",'Parameter tables'!B109,IF(Q26="b",'Parameter tables'!B110,IF(Q26="c",'Parameter tables'!B111,IF(Q26="d",'Parameter tables'!B112,IF(Q26="e",'Parameter tables'!B113,IF(Q26="f",'Parameter tables'!B114,"")))))))</f>
        <v>Unaltered, fresh joint walls  //no filling</v>
      </c>
      <c r="G124" s="872"/>
      <c r="H124" s="873"/>
      <c r="I124" s="2619" t="s">
        <v>858</v>
      </c>
      <c r="J124" s="2620"/>
      <c r="K124" s="2621"/>
      <c r="L124" s="915">
        <f>SUM(L121:L123)</f>
        <v>12</v>
      </c>
      <c r="M124" s="916"/>
      <c r="N124" s="917"/>
      <c r="O124" s="918"/>
      <c r="P124" s="69"/>
      <c r="Q124" s="858" t="s">
        <v>117</v>
      </c>
      <c r="R124" s="914">
        <f t="shared" si="0"/>
        <v>40</v>
      </c>
      <c r="S124" s="860" t="s">
        <v>137</v>
      </c>
      <c r="T124" s="134">
        <v>10</v>
      </c>
      <c r="U124" s="156" t="s">
        <v>467</v>
      </c>
      <c r="V124" s="157"/>
      <c r="W124" s="157"/>
      <c r="X124" s="157"/>
      <c r="Y124" s="158"/>
      <c r="Z124" s="1744"/>
      <c r="AA124" s="804"/>
      <c r="AB124" s="805"/>
      <c r="AC124" s="805"/>
      <c r="AD124" s="805"/>
      <c r="AE124" s="805"/>
      <c r="AF124" s="805"/>
      <c r="AG124" s="805"/>
    </row>
    <row r="125" spans="1:33" ht="11.45" customHeight="1">
      <c r="A125" s="2645" t="s">
        <v>136</v>
      </c>
      <c r="B125" s="2646"/>
      <c r="C125" s="919" t="s">
        <v>103</v>
      </c>
      <c r="D125" s="920">
        <f>IF(Q34="",'Parameter tables'!J141,IF(Q34="a",'Parameter tables'!J141,IF(Q34="b",'Parameter tables'!J141,IF(Q34="c",'Parameter tables'!J143,IF(Q34="d",'Parameter tables'!J144,IF(Q34="e",'Parameter tables'!J145,IF(Q34="f",'Parameter tables'!J146,IF(Q34="g",'Parameter tables'!J147,"?"))))))))</f>
        <v>1</v>
      </c>
      <c r="E125" s="1440">
        <v>1</v>
      </c>
      <c r="F125" s="1415" t="str">
        <f>IF(Q34="","(common value)","")</f>
        <v>(common value)</v>
      </c>
      <c r="G125" s="921"/>
      <c r="H125" s="873" t="str">
        <f>IF(Q26="","",IF(Q26="h",'Parameter tables'!B117,IF(Q26="j",'Parameter tables'!B118,IF(Q26="l",'Parameter tables'!B119,IF(Q26="n",'Parameter tables'!B120,"")))))</f>
        <v/>
      </c>
      <c r="I125" s="922" t="s">
        <v>131</v>
      </c>
      <c r="J125" s="923"/>
      <c r="K125" s="837" t="s">
        <v>102</v>
      </c>
      <c r="L125" s="924">
        <f>IF(Q34="",'Parameter tables'!H142,IF(Q34="a",'Parameter tables'!H141,IF(Q34="b",'Parameter tables'!H142,IF(Q34="c",'Parameter tables'!H143,IF(Q34="d",'Parameter tables'!H144,IF(Q34="e",'Parameter tables'!H145,IF(Q34="f",'Parameter tables'!H145,"?")))))))</f>
        <v>10</v>
      </c>
      <c r="M125" s="925"/>
      <c r="N125" s="925"/>
      <c r="O125" s="926"/>
      <c r="P125" s="69"/>
      <c r="Q125" s="858" t="s">
        <v>117</v>
      </c>
      <c r="R125" s="914">
        <f t="shared" si="0"/>
        <v>10</v>
      </c>
      <c r="S125" s="860" t="s">
        <v>137</v>
      </c>
      <c r="T125" s="134">
        <v>4</v>
      </c>
      <c r="U125" s="157" t="s">
        <v>181</v>
      </c>
      <c r="V125" s="157"/>
      <c r="W125" s="157"/>
      <c r="X125" s="157"/>
      <c r="Y125" s="158"/>
      <c r="Z125" s="1744"/>
      <c r="AA125" s="804"/>
      <c r="AB125" s="805"/>
      <c r="AC125" s="805"/>
      <c r="AD125" s="805"/>
      <c r="AE125" s="805"/>
      <c r="AF125" s="805"/>
      <c r="AG125" s="805"/>
    </row>
    <row r="126" spans="1:33" ht="11.45" customHeight="1">
      <c r="A126" s="2713" t="s">
        <v>133</v>
      </c>
      <c r="B126" s="2714"/>
      <c r="C126" s="927" t="s">
        <v>852</v>
      </c>
      <c r="D126" s="1791">
        <f>IF(Q36="",'Parameter tables'!J154,IF(Q36="a",'Parameter tables'!J152,IF(Q36="b",'Parameter tables'!J152,IF(Q36="c",'Parameter tables'!J154,IF(Q36="d",'Parameter tables'!J155,IF(Q36="e",'Parameter tables'!J158,IF(Q36="f",'Parameter tables'!J159,IF(Q36="g",'Parameter tables'!J160,IF(Q36="h",'Parameter tables'!J161,IF(Q36="i",'Parameter tables'!J162,""))))))))))</f>
        <v>1</v>
      </c>
      <c r="E126" s="1790">
        <f>IF(Q38="f",'Parameter tables'!J167,IF(Q38="g",'Parameter tables'!J168,IF(Q38="h",'Parameter tables'!J169,IF(Q38="i",'Parameter tables'!J170,""))))</f>
        <v>5</v>
      </c>
      <c r="F126" s="928" t="s">
        <v>853</v>
      </c>
      <c r="G126" s="929"/>
      <c r="H126" s="930" t="str">
        <f>IF(Q26="","",IF(Q26="i",'Parameter tables'!B117,IF(Q26="k",'Parameter tables'!B118,IF(Q26="m",'Parameter tables'!B119,IF(Q26="o",'Parameter tables'!B120,"")))))</f>
        <v/>
      </c>
      <c r="I126" s="931" t="s">
        <v>859</v>
      </c>
      <c r="J126" s="932"/>
      <c r="K126" s="919" t="s">
        <v>687</v>
      </c>
      <c r="L126" s="831">
        <f>IF(Q20="",-2,IF(Q20="a",'Parameter tables'!H85,IF(Q20="b",'Parameter tables'!H86,IF(Q20="c",'Parameter tables'!H87,IF(Q20="d",'Parameter tables'!H88,IF(Q20="e",'Parameter tables'!H89,"?"))))))</f>
        <v>-2</v>
      </c>
      <c r="M126" s="933"/>
      <c r="N126" s="933"/>
      <c r="O126" s="926"/>
      <c r="P126" s="69"/>
      <c r="Q126" s="858" t="s">
        <v>117</v>
      </c>
      <c r="R126" s="914">
        <f t="shared" si="0"/>
        <v>4</v>
      </c>
      <c r="S126" s="860" t="s">
        <v>137</v>
      </c>
      <c r="T126" s="134">
        <v>1</v>
      </c>
      <c r="U126" s="156" t="s">
        <v>468</v>
      </c>
      <c r="V126" s="157"/>
      <c r="W126" s="157"/>
      <c r="X126" s="157"/>
      <c r="Y126" s="158"/>
      <c r="Z126" s="1744"/>
      <c r="AA126" s="804"/>
      <c r="AB126" s="805"/>
      <c r="AC126" s="805"/>
      <c r="AD126" s="805"/>
      <c r="AE126" s="805"/>
      <c r="AF126" s="805"/>
      <c r="AG126" s="805"/>
    </row>
    <row r="127" spans="1:33" ht="11.45" customHeight="1">
      <c r="A127" s="2715"/>
      <c r="B127" s="2716"/>
      <c r="C127" s="919" t="s">
        <v>854</v>
      </c>
      <c r="D127" s="831" t="str">
        <f>IF(Q36&lt;&gt;"d","",IF(AND(Q36="d",D136&gt;20),'Parameter tables'!U155,IF(AND(Q36="d",D136&gt;10),'Parameter tables'!S155,'Parameter tables'!Q155)))</f>
        <v/>
      </c>
      <c r="E127" s="1441" t="str">
        <f>IF(Q36&lt;&gt;"d","",IF(AND(Q36="d",D136&gt;20),'Parameter tables'!U155,IF(AND(Q36="d",D136&gt;10),'Parameter tables'!S155,'Parameter tables'!Q155)))</f>
        <v/>
      </c>
      <c r="F127" s="1117" t="s">
        <v>279</v>
      </c>
      <c r="G127" s="921"/>
      <c r="H127" s="934" t="str">
        <f>IF(H124&lt;&gt;"",H124,IF(H125&lt;&gt;"",H125,IF(H126&lt;&gt;"",H126,"?")))</f>
        <v>?</v>
      </c>
      <c r="I127" s="2622" t="s">
        <v>116</v>
      </c>
      <c r="J127" s="2623"/>
      <c r="K127" s="2624"/>
      <c r="L127" s="935">
        <f>IF(Q11="","",IF(L125="?","-",L113+L114+L117+N121+L125+L126))</f>
        <v>63</v>
      </c>
      <c r="M127" s="936" t="str">
        <f>IF(L127="","",IF(L127="-","",IF(L127&gt;T114,U114,IF(L127&gt;T115,U115,IF(L127&gt;T116,U116,IF(L127&gt;T117,U117,U118))))))</f>
        <v>good</v>
      </c>
      <c r="N127" s="937"/>
      <c r="O127" s="938"/>
      <c r="P127" s="805"/>
      <c r="Q127" s="858" t="s">
        <v>117</v>
      </c>
      <c r="R127" s="914">
        <f t="shared" si="0"/>
        <v>1</v>
      </c>
      <c r="S127" s="860" t="s">
        <v>137</v>
      </c>
      <c r="T127" s="134">
        <v>0.1</v>
      </c>
      <c r="U127" s="156" t="s">
        <v>469</v>
      </c>
      <c r="V127" s="157"/>
      <c r="W127" s="157"/>
      <c r="X127" s="157"/>
      <c r="Y127" s="158"/>
      <c r="Z127" s="1744"/>
      <c r="AA127" s="804"/>
      <c r="AB127" s="805"/>
      <c r="AC127" s="805"/>
      <c r="AD127" s="805"/>
      <c r="AE127" s="805"/>
      <c r="AF127" s="805"/>
      <c r="AG127" s="805"/>
    </row>
    <row r="128" spans="1:33" ht="11.45" customHeight="1">
      <c r="A128" s="2653" t="s">
        <v>144</v>
      </c>
      <c r="B128" s="2654"/>
      <c r="C128" s="939" t="s">
        <v>117</v>
      </c>
      <c r="D128" s="1350">
        <f>IF(Q11="","",D114/D117*D120/D124*D125/D126)</f>
        <v>24.0625</v>
      </c>
      <c r="E128" s="1442">
        <f>IF(Q38="","",E114/E117*E120/E124*E125/E126)</f>
        <v>3.3333333333333333E-2</v>
      </c>
      <c r="F128" s="940" t="str">
        <f>IF(D128="","",IF(D128&gt;$T$122,$U$122,IF(D128&gt;$T$123,$U$123,IF(D128&gt;$T$124,$U$124,IF(D128&gt;$T$125,$U$125,IF(D128&gt;$T$126,$U$126,IF(D128&gt;$T$127,$U$127,IF(D128&gt;$T$128,$U$128,$U$129))))))))</f>
        <v>good</v>
      </c>
      <c r="G128" s="941" t="str">
        <f>IF(E128="","",IF(E128&gt;$T$122,$U$122,IF(E128&gt;$T$123,$U$123,IF(E128&gt;$T$124,$U$124,IF(E128&gt;$T$125,$U$125,IF(E128&gt;$T$126,$U$126,IF(E128&gt;$T$127,$U$127,IF(E128&gt;$T$128,$U$128,$U$129))))))))</f>
        <v>extr. poor</v>
      </c>
      <c r="H128" s="934"/>
      <c r="I128" s="2615" t="s">
        <v>118</v>
      </c>
      <c r="J128" s="942" t="str">
        <f>IF(AND(O61&lt;&gt;"",Q38&lt;&gt;""),"Weakzone: RMR limit and support is unclear",IF(OR(Q36="e",Q36="f",Q36="g"),"Outside stress limit of RMR?",IF(OR(Q36="h",Q36="i"),"RMR does not include squeezing",IF(Q34="e","Shotcrete spraying may be difficult",IF(OR(Q34="e",Q34="f"),"Inflowing water: Difficult to apply shotcrete",IF(Q34="g","Water inburst is outside limit of RMR",""))))))</f>
        <v>Weakzone: RMR limit and support is unclear</v>
      </c>
      <c r="K128" s="943"/>
      <c r="L128" s="943"/>
      <c r="M128" s="943"/>
      <c r="N128" s="943"/>
      <c r="O128" s="944"/>
      <c r="P128" s="805"/>
      <c r="Q128" s="858" t="s">
        <v>117</v>
      </c>
      <c r="R128" s="914">
        <f>T127</f>
        <v>0.1</v>
      </c>
      <c r="S128" s="860" t="s">
        <v>137</v>
      </c>
      <c r="T128" s="134">
        <v>0.01</v>
      </c>
      <c r="U128" s="159" t="s">
        <v>472</v>
      </c>
      <c r="V128" s="160"/>
      <c r="W128" s="160"/>
      <c r="X128" s="160"/>
      <c r="Y128" s="158"/>
      <c r="Z128" s="1744"/>
      <c r="AA128" s="804"/>
      <c r="AB128" s="805"/>
      <c r="AC128" s="805"/>
      <c r="AD128" s="805"/>
      <c r="AE128" s="805"/>
      <c r="AF128" s="805"/>
      <c r="AG128" s="805"/>
    </row>
    <row r="129" spans="1:33" ht="11.45" customHeight="1">
      <c r="A129" s="2655"/>
      <c r="B129" s="2656"/>
      <c r="C129" s="945" t="str">
        <f>IF(D129=E128,"Qz =",IF(D129=D128,"Q =","Qa ="))</f>
        <v>Qa =</v>
      </c>
      <c r="D129" s="2661">
        <f>IF(AND(Q11&lt;&gt;"",Q38&lt;&gt;"",O61&lt;&gt;""),10^((E172*LOG(E128)+LOG(D128))/(E172+1)),IF(O$61="",D128,E128))</f>
        <v>0.89559105250852811</v>
      </c>
      <c r="E129" s="2662"/>
      <c r="F129" s="946" t="str">
        <f>IF(D129="","",IF(D129&gt;$T$122,$U$122,IF(D129&gt;$T$123,$U$123,IF(D129&gt;$T$124,$U$124,IF(D129&gt;$T$125,$U$125,IF(D129&gt;$T$126,$U$126,IF(D129&gt;$T$127,$U$127,IF(D129&gt;$T$128,$U$128,$U$129))))))))</f>
        <v>very poor</v>
      </c>
      <c r="G129" s="909"/>
      <c r="H129" s="829"/>
      <c r="I129" s="2616"/>
      <c r="J129" s="947" t="str">
        <f>IF(OR(Q36="e",Q36="f",Q36="g"),"(RMR includes stresses &lt; 25MPa)","")</f>
        <v/>
      </c>
      <c r="K129" s="948"/>
      <c r="L129" s="948"/>
      <c r="M129" s="948"/>
      <c r="N129" s="948"/>
      <c r="O129" s="949"/>
      <c r="P129" s="805"/>
      <c r="Q129" s="888" t="s">
        <v>117</v>
      </c>
      <c r="R129" s="950">
        <f>T128</f>
        <v>0.01</v>
      </c>
      <c r="S129" s="890" t="s">
        <v>137</v>
      </c>
      <c r="T129" s="142">
        <v>1E-3</v>
      </c>
      <c r="U129" s="161" t="s">
        <v>473</v>
      </c>
      <c r="V129" s="162"/>
      <c r="W129" s="162"/>
      <c r="X129" s="162"/>
      <c r="Y129" s="163"/>
      <c r="Z129" s="1744"/>
      <c r="AA129" s="804"/>
      <c r="AB129" s="805"/>
      <c r="AC129" s="805"/>
      <c r="AD129" s="805"/>
      <c r="AE129" s="805"/>
      <c r="AF129" s="805"/>
      <c r="AG129" s="805"/>
    </row>
    <row r="130" spans="1:33" ht="11.45" customHeight="1">
      <c r="A130" s="2655"/>
      <c r="B130" s="2656"/>
      <c r="C130" s="951" t="s">
        <v>119</v>
      </c>
      <c r="D130" s="952">
        <f>IF(Q11="","",D128*E147/100)</f>
        <v>24.0625</v>
      </c>
      <c r="E130" s="952">
        <f>IF(Q38="","",E114/E117*E120/E124*E125/E126)</f>
        <v>3.3333333333333333E-2</v>
      </c>
      <c r="F130" s="925" t="s">
        <v>390</v>
      </c>
      <c r="G130" s="953"/>
      <c r="H130" s="820"/>
      <c r="I130" s="2616"/>
      <c r="J130" s="948" t="str">
        <f>IF(Q26="o","Swelling clay fillings are not included in RMR","")</f>
        <v/>
      </c>
      <c r="K130" s="954"/>
      <c r="L130" s="954"/>
      <c r="M130" s="955"/>
      <c r="N130" s="956"/>
      <c r="O130" s="957"/>
      <c r="P130" s="805"/>
      <c r="Q130" s="214"/>
      <c r="R130" s="214"/>
      <c r="AA130" s="804"/>
      <c r="AB130" s="805"/>
      <c r="AC130" s="805"/>
      <c r="AD130" s="805"/>
      <c r="AE130" s="805"/>
      <c r="AF130" s="805"/>
      <c r="AG130" s="805"/>
    </row>
    <row r="131" spans="1:33" ht="11.45" customHeight="1">
      <c r="A131" s="2655"/>
      <c r="B131" s="2656"/>
      <c r="C131" s="1056" t="s">
        <v>119</v>
      </c>
      <c r="D131" s="2665">
        <f>IF(AND(Q11&lt;&gt;"",Q38&lt;&gt;"",O61&lt;&gt;""),10^((E172*LOG(E130)+LOG(D130))/(E172+1)),IF(O$61="",D130,E130))</f>
        <v>0.89559105250852811</v>
      </c>
      <c r="E131" s="2666"/>
      <c r="F131" s="1784"/>
      <c r="G131" s="909"/>
      <c r="H131" s="820"/>
      <c r="I131" s="2616"/>
      <c r="J131" s="948"/>
      <c r="K131" s="954"/>
      <c r="L131" s="954"/>
      <c r="M131" s="955"/>
      <c r="N131" s="956"/>
      <c r="O131" s="957"/>
      <c r="P131" s="805"/>
      <c r="Q131" s="214"/>
      <c r="R131" s="214"/>
      <c r="AA131" s="804"/>
      <c r="AB131" s="805"/>
      <c r="AC131" s="805"/>
      <c r="AD131" s="805"/>
      <c r="AE131" s="805"/>
      <c r="AF131" s="805"/>
      <c r="AG131" s="805"/>
    </row>
    <row r="132" spans="1:33" ht="11.45" customHeight="1">
      <c r="A132" s="2655"/>
      <c r="B132" s="2656"/>
      <c r="C132" s="878" t="s">
        <v>855</v>
      </c>
      <c r="D132" s="827">
        <f>IF(Q11="","",IF(D128&gt;10,D128*5,IF(D128&gt;0.1,2.5*D128,D128)))</f>
        <v>120.3125</v>
      </c>
      <c r="E132" s="1350">
        <f>IF(Q38="","",IF(E128&gt;10,E128*5,IF(E128&gt;0.1,2.5*E128,E128)))</f>
        <v>3.3333333333333333E-2</v>
      </c>
      <c r="F132" s="829"/>
      <c r="G132" s="958"/>
      <c r="H132" s="820"/>
      <c r="I132" s="2617"/>
      <c r="J132" s="959" t="str">
        <f>IF(Q34="e","Gushing; shotcrete spraying may be difficult",IF(OR(Q34="f",Q34="g"),"High water inflow: Shotcrete works are difficult",""))</f>
        <v/>
      </c>
      <c r="K132" s="960"/>
      <c r="L132" s="960"/>
      <c r="M132" s="960"/>
      <c r="N132" s="961"/>
      <c r="O132" s="962"/>
      <c r="P132" s="1"/>
      <c r="Q132" s="818"/>
      <c r="R132" s="898"/>
      <c r="S132" s="818"/>
      <c r="T132" s="818"/>
      <c r="U132" s="963"/>
      <c r="V132" s="963"/>
      <c r="W132" s="963"/>
      <c r="X132" s="963"/>
      <c r="Y132" s="818"/>
      <c r="Z132" s="804"/>
      <c r="AA132" s="804"/>
      <c r="AB132" s="805"/>
      <c r="AC132" s="805"/>
      <c r="AD132" s="805"/>
      <c r="AE132" s="805"/>
      <c r="AF132" s="805"/>
      <c r="AG132" s="805"/>
    </row>
    <row r="133" spans="1:33" ht="11.45" customHeight="1">
      <c r="A133" s="2657"/>
      <c r="B133" s="2658"/>
      <c r="C133" s="965" t="s">
        <v>856</v>
      </c>
      <c r="D133" s="2661">
        <f>IF(AND(Q11&lt;&gt;"",Q38&lt;&gt;"",O61&lt;&gt;""),10^((E172*LOG(E132)+LOG(D132))/(E172+1)),IF(O$61="",D132,E132))</f>
        <v>2.0026024734496528</v>
      </c>
      <c r="E133" s="2662"/>
      <c r="F133" s="966"/>
      <c r="G133" s="967"/>
      <c r="H133" s="820"/>
      <c r="I133" s="2681" t="s">
        <v>306</v>
      </c>
      <c r="J133" s="2682"/>
      <c r="K133" s="968" t="s">
        <v>305</v>
      </c>
      <c r="L133" s="850" t="str">
        <f>IF(OR(L127="",L127="-",G52&lt;&gt;""),"",IF(L127&lt;=50,"",2*L127-100))</f>
        <v/>
      </c>
      <c r="M133" s="969" t="s">
        <v>344</v>
      </c>
      <c r="N133" s="970"/>
      <c r="O133" s="971"/>
      <c r="P133" s="1"/>
      <c r="Q133" s="903" t="s">
        <v>149</v>
      </c>
      <c r="R133" s="904"/>
      <c r="S133" s="805"/>
      <c r="T133" s="972"/>
      <c r="U133" s="59"/>
      <c r="V133" s="59"/>
      <c r="W133" s="59"/>
      <c r="X133" s="59"/>
      <c r="Y133" s="805"/>
      <c r="Z133" s="804"/>
      <c r="AA133" s="804"/>
      <c r="AB133" s="805"/>
      <c r="AC133" s="805"/>
      <c r="AD133" s="805"/>
      <c r="AE133" s="805"/>
      <c r="AF133" s="805"/>
      <c r="AG133" s="805"/>
    </row>
    <row r="134" spans="1:33" ht="11.45" customHeight="1">
      <c r="A134" s="2573" t="s">
        <v>143</v>
      </c>
      <c r="B134" s="2640"/>
      <c r="C134" s="973" t="s">
        <v>552</v>
      </c>
      <c r="D134" s="2663">
        <f>IF(H65="",1,H65)</f>
        <v>1</v>
      </c>
      <c r="E134" s="2664"/>
      <c r="F134" s="974"/>
      <c r="G134" s="929"/>
      <c r="H134" s="975"/>
      <c r="I134" s="2683"/>
      <c r="J134" s="2684"/>
      <c r="K134" s="976" t="s">
        <v>305</v>
      </c>
      <c r="L134" s="831" t="str">
        <f>IF(OR(L127="",L127="-",G52&lt;&gt;""),"",IF(L127&gt;50,"",10^((L127-10)/40)))</f>
        <v/>
      </c>
      <c r="M134" s="977" t="s">
        <v>345</v>
      </c>
      <c r="N134" s="833"/>
      <c r="O134" s="978"/>
      <c r="P134" s="521"/>
      <c r="Q134" s="846" t="s">
        <v>122</v>
      </c>
      <c r="R134" s="979">
        <v>100</v>
      </c>
      <c r="S134" s="848" t="s">
        <v>56</v>
      </c>
      <c r="T134" s="132">
        <v>40</v>
      </c>
      <c r="U134" s="147" t="s">
        <v>474</v>
      </c>
      <c r="V134" s="148"/>
      <c r="W134" s="148"/>
      <c r="X134" s="148"/>
      <c r="Y134" s="149"/>
      <c r="Z134" s="1744"/>
      <c r="AA134" s="804"/>
      <c r="AB134" s="805"/>
      <c r="AC134" s="805"/>
      <c r="AD134" s="805"/>
      <c r="AE134" s="805"/>
      <c r="AF134" s="805"/>
      <c r="AG134" s="805"/>
    </row>
    <row r="135" spans="1:33" ht="11.45" customHeight="1">
      <c r="A135" s="2698"/>
      <c r="B135" s="2717"/>
      <c r="C135" s="912" t="s">
        <v>147</v>
      </c>
      <c r="D135" s="2659">
        <f>G61</f>
        <v>10</v>
      </c>
      <c r="E135" s="2660"/>
      <c r="F135" s="980" t="s">
        <v>730</v>
      </c>
      <c r="G135" s="981">
        <f>D135/D134</f>
        <v>10</v>
      </c>
      <c r="H135" s="982"/>
      <c r="I135" s="66"/>
      <c r="J135" s="65"/>
      <c r="K135" s="226"/>
      <c r="L135" s="66"/>
      <c r="M135" s="66"/>
      <c r="N135" s="66"/>
      <c r="O135" s="66"/>
      <c r="P135" s="521"/>
      <c r="Q135" s="858" t="s">
        <v>122</v>
      </c>
      <c r="R135" s="983">
        <f>T134</f>
        <v>40</v>
      </c>
      <c r="S135" s="860" t="s">
        <v>56</v>
      </c>
      <c r="T135" s="134">
        <v>10</v>
      </c>
      <c r="U135" s="150" t="s">
        <v>434</v>
      </c>
      <c r="V135" s="151"/>
      <c r="W135" s="151"/>
      <c r="X135" s="151"/>
      <c r="Y135" s="152"/>
      <c r="Z135" s="1744"/>
      <c r="AA135" s="804"/>
      <c r="AB135" s="805"/>
      <c r="AC135" s="805"/>
      <c r="AD135" s="805"/>
      <c r="AE135" s="805"/>
      <c r="AF135" s="805"/>
      <c r="AG135" s="805"/>
    </row>
    <row r="136" spans="1:33" ht="11.45" customHeight="1">
      <c r="A136" s="2575"/>
      <c r="B136" s="2641"/>
      <c r="C136" s="874" t="s">
        <v>729</v>
      </c>
      <c r="D136" s="2711">
        <f>IF(S1="",S105,S1)</f>
        <v>4</v>
      </c>
      <c r="E136" s="2712"/>
      <c r="F136" s="980" t="s">
        <v>641</v>
      </c>
      <c r="G136" s="985">
        <f>D136/D134</f>
        <v>4</v>
      </c>
      <c r="H136" s="820"/>
      <c r="O136" s="986"/>
      <c r="P136" s="975"/>
      <c r="Q136" s="858" t="s">
        <v>122</v>
      </c>
      <c r="R136" s="983">
        <f>T135</f>
        <v>10</v>
      </c>
      <c r="S136" s="860" t="s">
        <v>56</v>
      </c>
      <c r="T136" s="134">
        <v>1</v>
      </c>
      <c r="U136" s="150" t="s">
        <v>415</v>
      </c>
      <c r="V136" s="151"/>
      <c r="W136" s="151"/>
      <c r="X136" s="151"/>
      <c r="Y136" s="152"/>
      <c r="Z136" s="1744"/>
      <c r="AA136" s="804"/>
      <c r="AB136" s="805"/>
      <c r="AC136" s="805"/>
      <c r="AD136" s="805"/>
      <c r="AE136" s="805"/>
      <c r="AF136" s="805"/>
      <c r="AG136" s="805"/>
    </row>
    <row r="137" spans="1:33" ht="11.45" customHeight="1">
      <c r="A137" s="2647" t="s">
        <v>120</v>
      </c>
      <c r="B137" s="2648"/>
      <c r="C137" s="987" t="str">
        <f>IF(O61&lt;&gt;"","Weak zone may need further evaluations","")</f>
        <v>Weak zone may need further evaluations</v>
      </c>
      <c r="D137" s="943"/>
      <c r="E137" s="943"/>
      <c r="F137" s="943"/>
      <c r="G137" s="944"/>
      <c r="H137" s="988"/>
      <c r="O137" s="989"/>
      <c r="P137" s="975"/>
      <c r="Q137" s="858" t="s">
        <v>122</v>
      </c>
      <c r="R137" s="983">
        <f>T136</f>
        <v>1</v>
      </c>
      <c r="S137" s="860" t="s">
        <v>56</v>
      </c>
      <c r="T137" s="134">
        <v>0.4</v>
      </c>
      <c r="U137" s="151" t="s">
        <v>475</v>
      </c>
      <c r="V137" s="151"/>
      <c r="W137" s="151"/>
      <c r="X137" s="151"/>
      <c r="Y137" s="152"/>
      <c r="Z137" s="1744"/>
      <c r="AA137" s="804"/>
      <c r="AB137" s="805"/>
      <c r="AC137" s="805"/>
      <c r="AD137" s="805"/>
      <c r="AE137" s="805"/>
      <c r="AF137" s="805"/>
      <c r="AG137" s="805"/>
    </row>
    <row r="138" spans="1:33" ht="11.45" customHeight="1">
      <c r="A138" s="2649"/>
      <c r="B138" s="2650"/>
      <c r="C138" s="948" t="str">
        <f>IF(D129="","",IF(OR(G135&gt;46*D129^0.18,G135&gt;63*D129^0.06),"Tunnel span is outside limit",IF(OR(D136&gt;46*D133^0.18,D136&gt;63*D133^0.06),"Wall height outside limit",IF(D129&lt;0.1,"Potential limitations when Q &lt; 0.1",IF(OR(Q36="h",Q36="i"),"Potential limitations for squeezing ground","")))))</f>
        <v/>
      </c>
      <c r="D138" s="948"/>
      <c r="E138" s="948"/>
      <c r="F138" s="948"/>
      <c r="G138" s="949"/>
      <c r="H138" s="990"/>
      <c r="O138" s="989"/>
      <c r="P138" s="820"/>
      <c r="Q138" s="858" t="s">
        <v>122</v>
      </c>
      <c r="R138" s="983">
        <f>T137</f>
        <v>0.4</v>
      </c>
      <c r="S138" s="860" t="s">
        <v>56</v>
      </c>
      <c r="T138" s="134">
        <v>0.1</v>
      </c>
      <c r="U138" s="150" t="s">
        <v>476</v>
      </c>
      <c r="V138" s="151"/>
      <c r="W138" s="151"/>
      <c r="X138" s="151"/>
      <c r="Y138" s="152"/>
      <c r="Z138" s="1744"/>
      <c r="AA138" s="804"/>
      <c r="AB138" s="805"/>
      <c r="AC138" s="805"/>
      <c r="AD138" s="805"/>
      <c r="AE138" s="805"/>
      <c r="AF138" s="805"/>
      <c r="AG138" s="805"/>
    </row>
    <row r="139" spans="1:33" ht="11.45" customHeight="1">
      <c r="A139" s="2651"/>
      <c r="B139" s="2652"/>
      <c r="C139" s="959" t="str">
        <f>IF(Q34="e","Gushing; shotcrete spraying may be difficult",IF(OR(Q34="f",Q34="g"),"High water inflow: Shotcrete works may be difficult",""))</f>
        <v/>
      </c>
      <c r="D139" s="991"/>
      <c r="E139" s="960"/>
      <c r="F139" s="960"/>
      <c r="G139" s="992"/>
      <c r="H139" s="990"/>
      <c r="O139" s="989"/>
      <c r="P139" s="993"/>
      <c r="Q139" s="888" t="s">
        <v>122</v>
      </c>
      <c r="R139" s="994">
        <f>T138</f>
        <v>0.1</v>
      </c>
      <c r="S139" s="890" t="s">
        <v>56</v>
      </c>
      <c r="T139" s="142">
        <v>0.01</v>
      </c>
      <c r="U139" s="153" t="s">
        <v>477</v>
      </c>
      <c r="V139" s="154"/>
      <c r="W139" s="154"/>
      <c r="X139" s="154"/>
      <c r="Y139" s="155"/>
      <c r="Z139" s="1744"/>
      <c r="AA139" s="804"/>
      <c r="AB139" s="805"/>
      <c r="AC139" s="805"/>
      <c r="AD139" s="805"/>
      <c r="AE139" s="805"/>
      <c r="AF139" s="805"/>
      <c r="AG139" s="805"/>
    </row>
    <row r="140" spans="1:33" ht="11.45" customHeight="1">
      <c r="A140" s="2699" t="s">
        <v>530</v>
      </c>
      <c r="B140" s="2700"/>
      <c r="C140" s="2701"/>
      <c r="D140" s="1351">
        <f>IF(D128="","",IF(D128&lt;1,"-",25*LOG(D128)))</f>
        <v>34.533518671314397</v>
      </c>
      <c r="E140" s="977" t="s">
        <v>307</v>
      </c>
      <c r="F140" s="977"/>
      <c r="G140" s="995"/>
      <c r="H140" s="990"/>
      <c r="O140" s="986"/>
      <c r="P140" s="820"/>
      <c r="Q140" s="996"/>
      <c r="R140" s="997"/>
      <c r="S140" s="303"/>
      <c r="T140" s="803"/>
      <c r="U140" s="998"/>
      <c r="V140" s="998"/>
      <c r="W140" s="998"/>
      <c r="X140" s="998"/>
      <c r="Y140" s="999"/>
      <c r="Z140" s="1743"/>
      <c r="AA140" s="804"/>
      <c r="AB140" s="805"/>
      <c r="AC140" s="805"/>
      <c r="AD140" s="805"/>
      <c r="AE140" s="805"/>
      <c r="AF140" s="805"/>
      <c r="AG140" s="805"/>
    </row>
    <row r="141" spans="1:33" ht="11.45" customHeight="1">
      <c r="H141" s="805"/>
      <c r="O141" s="986"/>
      <c r="P141" s="820"/>
      <c r="Q141" s="2625" t="s">
        <v>186</v>
      </c>
      <c r="R141" s="2625"/>
      <c r="S141" s="2625"/>
      <c r="T141" s="2625"/>
      <c r="U141" s="2625"/>
      <c r="V141" s="2625"/>
      <c r="W141" s="2625"/>
      <c r="X141" s="2625"/>
      <c r="Y141" s="2625"/>
      <c r="Z141" s="804"/>
      <c r="AA141" s="804"/>
      <c r="AB141" s="805"/>
      <c r="AC141" s="805"/>
      <c r="AD141" s="805"/>
      <c r="AE141" s="805"/>
      <c r="AF141" s="805"/>
      <c r="AG141" s="805"/>
    </row>
    <row r="142" spans="1:33" ht="11.45" customHeight="1">
      <c r="B142" s="227"/>
      <c r="H142" s="805"/>
      <c r="P142" s="1"/>
      <c r="Q142" s="1000"/>
      <c r="R142" s="847" t="s">
        <v>217</v>
      </c>
      <c r="S142" s="848" t="s">
        <v>161</v>
      </c>
      <c r="T142" s="132">
        <v>40</v>
      </c>
      <c r="U142" s="147" t="s">
        <v>466</v>
      </c>
      <c r="V142" s="148"/>
      <c r="W142" s="148"/>
      <c r="X142" s="148"/>
      <c r="Y142" s="149"/>
      <c r="Z142" s="1744"/>
      <c r="AA142" s="804"/>
      <c r="AB142" s="805"/>
      <c r="AC142" s="805"/>
      <c r="AD142" s="805"/>
      <c r="AE142" s="805"/>
      <c r="AF142" s="805"/>
      <c r="AG142" s="805"/>
    </row>
    <row r="143" spans="1:33" ht="11.45" customHeight="1" thickBot="1">
      <c r="H143" s="1"/>
      <c r="I143" s="120"/>
      <c r="J143" s="1001" t="s">
        <v>924</v>
      </c>
      <c r="K143" s="2606" t="s">
        <v>925</v>
      </c>
      <c r="L143" s="2606"/>
      <c r="M143" s="1002" t="s">
        <v>920</v>
      </c>
      <c r="N143" s="1003"/>
      <c r="O143" s="1"/>
      <c r="P143" s="1"/>
      <c r="Q143" s="858" t="s">
        <v>148</v>
      </c>
      <c r="R143" s="983">
        <f>T142</f>
        <v>40</v>
      </c>
      <c r="S143" s="860" t="s">
        <v>56</v>
      </c>
      <c r="T143" s="134">
        <v>10</v>
      </c>
      <c r="U143" s="150" t="s">
        <v>467</v>
      </c>
      <c r="V143" s="151"/>
      <c r="W143" s="151"/>
      <c r="X143" s="151"/>
      <c r="Y143" s="152"/>
      <c r="Z143" s="1744"/>
      <c r="AA143" s="804"/>
      <c r="AB143" s="805"/>
      <c r="AC143" s="805"/>
      <c r="AD143" s="805"/>
      <c r="AE143" s="805"/>
      <c r="AF143" s="805"/>
      <c r="AG143" s="805"/>
    </row>
    <row r="144" spans="1:33" ht="11.45" customHeight="1" thickBot="1">
      <c r="A144" s="494"/>
      <c r="B144" s="1004"/>
      <c r="C144" s="1005"/>
      <c r="D144" s="1005"/>
      <c r="E144" s="1005"/>
      <c r="F144" s="1006"/>
      <c r="G144" s="2629" t="s">
        <v>459</v>
      </c>
      <c r="H144" s="2630"/>
      <c r="I144" s="2631"/>
      <c r="J144" s="67"/>
      <c r="K144" s="67"/>
      <c r="L144" s="67"/>
      <c r="M144" s="67"/>
      <c r="N144" s="67"/>
      <c r="O144" s="67"/>
      <c r="P144" s="1"/>
      <c r="Q144" s="858" t="s">
        <v>148</v>
      </c>
      <c r="R144" s="983">
        <f>T143</f>
        <v>10</v>
      </c>
      <c r="S144" s="860" t="s">
        <v>56</v>
      </c>
      <c r="T144" s="134">
        <v>1</v>
      </c>
      <c r="U144" s="135" t="s">
        <v>181</v>
      </c>
      <c r="V144" s="135"/>
      <c r="W144" s="135"/>
      <c r="X144" s="135"/>
      <c r="Y144" s="139"/>
      <c r="Z144" s="1744"/>
      <c r="AA144" s="804"/>
      <c r="AB144" s="805"/>
      <c r="AC144" s="805"/>
      <c r="AD144" s="805"/>
      <c r="AE144" s="805"/>
      <c r="AF144" s="805"/>
      <c r="AG144" s="805"/>
    </row>
    <row r="145" spans="1:33" ht="11.45" customHeight="1">
      <c r="A145" s="903" t="s">
        <v>934</v>
      </c>
      <c r="B145" s="903"/>
      <c r="C145" s="903"/>
      <c r="D145" s="903"/>
      <c r="E145" s="903"/>
      <c r="F145" s="903"/>
      <c r="G145" s="1007"/>
      <c r="H145" s="820"/>
      <c r="I145" s="835" t="s">
        <v>933</v>
      </c>
      <c r="J145" s="835"/>
      <c r="K145" s="835"/>
      <c r="L145" s="835"/>
      <c r="M145" s="835"/>
      <c r="N145" s="835"/>
      <c r="O145" s="835"/>
      <c r="P145" s="1"/>
      <c r="Q145" s="858" t="s">
        <v>148</v>
      </c>
      <c r="R145" s="983">
        <f>T144</f>
        <v>1</v>
      </c>
      <c r="S145" s="860" t="s">
        <v>56</v>
      </c>
      <c r="T145" s="134">
        <v>0.4</v>
      </c>
      <c r="U145" s="138" t="s">
        <v>468</v>
      </c>
      <c r="V145" s="135"/>
      <c r="W145" s="135"/>
      <c r="X145" s="135"/>
      <c r="Y145" s="139"/>
      <c r="Z145" s="1744"/>
      <c r="AA145" s="804"/>
      <c r="AB145" s="805"/>
      <c r="AC145" s="805"/>
      <c r="AD145" s="805"/>
      <c r="AE145" s="805"/>
      <c r="AF145" s="805"/>
      <c r="AG145" s="805"/>
    </row>
    <row r="146" spans="1:33" ht="11.45" customHeight="1">
      <c r="A146" s="2603" t="s">
        <v>113</v>
      </c>
      <c r="B146" s="2604"/>
      <c r="C146" s="2604"/>
      <c r="D146" s="2605"/>
      <c r="E146" s="1009" t="s">
        <v>114</v>
      </c>
      <c r="F146" s="2679" t="s">
        <v>252</v>
      </c>
      <c r="G146" s="2680"/>
      <c r="H146" s="820"/>
      <c r="I146" s="2603" t="s">
        <v>113</v>
      </c>
      <c r="J146" s="2604"/>
      <c r="K146" s="2605"/>
      <c r="L146" s="1008" t="s">
        <v>114</v>
      </c>
      <c r="M146" s="1011" t="s">
        <v>252</v>
      </c>
      <c r="N146" s="815"/>
      <c r="O146" s="1010"/>
      <c r="P146" s="1"/>
      <c r="Q146" s="858" t="s">
        <v>148</v>
      </c>
      <c r="R146" s="983">
        <f>T145</f>
        <v>0.4</v>
      </c>
      <c r="S146" s="860" t="s">
        <v>56</v>
      </c>
      <c r="T146" s="134">
        <v>0.1</v>
      </c>
      <c r="U146" s="138" t="s">
        <v>469</v>
      </c>
      <c r="V146" s="135"/>
      <c r="W146" s="135"/>
      <c r="X146" s="135"/>
      <c r="Y146" s="139"/>
      <c r="Z146" s="1744"/>
      <c r="AA146" s="804"/>
      <c r="AB146" s="805"/>
      <c r="AC146" s="805"/>
      <c r="AD146" s="805"/>
      <c r="AE146" s="805"/>
      <c r="AF146" s="805"/>
      <c r="AG146" s="805"/>
    </row>
    <row r="147" spans="1:33" ht="12" customHeight="1">
      <c r="A147" s="2642" t="s">
        <v>142</v>
      </c>
      <c r="B147" s="2643"/>
      <c r="C147" s="2644"/>
      <c r="D147" s="1012" t="s">
        <v>833</v>
      </c>
      <c r="E147" s="1013">
        <f>IF(Q9="",100,IF(Q9="a",'Parameter tables'!L9,IF(Q9="b",'Parameter tables'!L10,IF(Q9="c",'Parameter tables'!L11,IF(Q9="d",'Parameter tables'!L12,IF(Q9="e",'Parameter tables'!L13,IF(Q9="f",'Parameter tables'!L14,IF(Q9="g",'Parameter tables'!L15,IF(Q9="h",'Parameter tables'!L16,IF(Q9="i",'Parameter tables'!L17,""))))))))))</f>
        <v>100</v>
      </c>
      <c r="F147" s="916" t="str">
        <f>IF(Q9="","MPa  (common value)","MPa")</f>
        <v>MPa  (common value)</v>
      </c>
      <c r="G147" s="921"/>
      <c r="H147" s="820"/>
      <c r="I147" s="2638" t="s">
        <v>333</v>
      </c>
      <c r="J147" s="2639"/>
      <c r="K147" s="878" t="s">
        <v>145</v>
      </c>
      <c r="L147" s="1014">
        <f>IF(Q1="",L105,Q1)</f>
        <v>10</v>
      </c>
      <c r="M147" s="1015" t="str">
        <f>IF(Q1="","assumed (no input given)","")</f>
        <v>assumed (no input given)</v>
      </c>
      <c r="N147" s="880"/>
      <c r="O147" s="852"/>
      <c r="P147" s="836"/>
      <c r="Q147" s="888" t="s">
        <v>148</v>
      </c>
      <c r="R147" s="994">
        <f>T146</f>
        <v>0.1</v>
      </c>
      <c r="S147" s="890" t="s">
        <v>56</v>
      </c>
      <c r="T147" s="142">
        <v>0.01</v>
      </c>
      <c r="U147" s="145" t="s">
        <v>472</v>
      </c>
      <c r="V147" s="137"/>
      <c r="W147" s="137"/>
      <c r="X147" s="137"/>
      <c r="Y147" s="146"/>
      <c r="Z147" s="1744"/>
      <c r="AA147" s="804"/>
      <c r="AB147" s="805"/>
      <c r="AC147" s="805"/>
      <c r="AD147" s="805"/>
      <c r="AE147" s="1017"/>
      <c r="AF147" s="805"/>
      <c r="AG147" s="805"/>
    </row>
    <row r="148" spans="1:33" ht="11.45" customHeight="1">
      <c r="A148" s="2598" t="s">
        <v>135</v>
      </c>
      <c r="B148" s="2688"/>
      <c r="C148" s="2613"/>
      <c r="D148" s="878" t="s">
        <v>60</v>
      </c>
      <c r="E148" s="1018">
        <f>IF(Q22="",1.25,IF(Q22="a",'Parameter tables'!L93,IF(Q22="b",'Parameter tables'!L94,IF(Q22="c",'Parameter tables'!L95,IF(Q22="d",'Parameter tables'!L96,IF(Q22="e",'Parameter tables'!L97,IF(Q22="f",'Parameter tables'!L98,IF(Q22="g",'Parameter tables'!L99,""))))))))</f>
        <v>1.25</v>
      </c>
      <c r="F148" s="1019" t="str">
        <f>IF(Q22="","(common value)","")</f>
        <v>(common value)</v>
      </c>
      <c r="G148" s="1020"/>
      <c r="H148" s="820"/>
      <c r="I148" s="2696" t="s">
        <v>334</v>
      </c>
      <c r="J148" s="2697"/>
      <c r="K148" s="919" t="s">
        <v>146</v>
      </c>
      <c r="L148" s="1021">
        <f>IF(S1="",4,S1)</f>
        <v>4</v>
      </c>
      <c r="M148" s="1022" t="str">
        <f>IF(S1="","assumed (no input given)","")</f>
        <v>assumed (no input given)</v>
      </c>
      <c r="N148" s="871"/>
      <c r="O148" s="872"/>
      <c r="P148" s="1023"/>
      <c r="Q148" s="804"/>
      <c r="R148" s="1024"/>
      <c r="S148" s="804"/>
      <c r="T148" s="804"/>
      <c r="U148" s="804"/>
      <c r="V148" s="804"/>
      <c r="W148" s="804"/>
      <c r="X148" s="804"/>
      <c r="Y148" s="804"/>
      <c r="Z148" s="804"/>
      <c r="AA148" s="804"/>
      <c r="AB148" s="805"/>
      <c r="AC148" s="805"/>
      <c r="AD148" s="805"/>
      <c r="AE148" s="805"/>
      <c r="AF148" s="805"/>
      <c r="AG148" s="805"/>
    </row>
    <row r="149" spans="1:33" ht="11.45" customHeight="1">
      <c r="A149" s="2599"/>
      <c r="B149" s="2689"/>
      <c r="C149" s="2690"/>
      <c r="D149" s="892" t="s">
        <v>67</v>
      </c>
      <c r="E149" s="1025">
        <f>IF(Q24="",1.4,IF(Q24="a",'Parameter tables'!L101,IF(Q24="b",'Parameter tables'!L102,IF(Q24="c",'Parameter tables'!L103,IF(Q24="d",'Parameter tables'!L104,IF(Q24="e",'Parameter tables'!L105,IF(Q24="f",'Parameter tables'!L106,"")))))))</f>
        <v>1.4</v>
      </c>
      <c r="F149" s="1026" t="str">
        <f>IF(Q24="","(common value)","")</f>
        <v>(common value)</v>
      </c>
      <c r="G149" s="1027"/>
      <c r="H149" s="820"/>
      <c r="I149" s="2598" t="s">
        <v>666</v>
      </c>
      <c r="J149" s="2613"/>
      <c r="K149" s="973" t="s">
        <v>860</v>
      </c>
      <c r="L149" s="1349">
        <f>IF(E160="","",L147/E160)</f>
        <v>23.231513279522144</v>
      </c>
      <c r="M149" s="1028" t="str">
        <f>IF(L$147="?","",IF(AND(Q40&gt;0,Q40&lt;21),"Weakness zone",IF(L149&lt;T167,U167,IF(L149&lt;T168,U168,IF(L149&lt;T169,U169,IF(L149&lt;T170,U170,U171))))))</f>
        <v>discontinuous // contin.</v>
      </c>
      <c r="N149" s="1028"/>
      <c r="O149" s="852"/>
      <c r="P149" s="1023"/>
      <c r="Q149" s="903" t="s">
        <v>179</v>
      </c>
      <c r="R149" s="904"/>
      <c r="S149" s="820"/>
      <c r="T149" s="805"/>
      <c r="U149" s="805"/>
      <c r="V149" s="805"/>
      <c r="W149" s="805"/>
      <c r="X149" s="805"/>
      <c r="Y149" s="805"/>
      <c r="Z149" s="1029"/>
      <c r="AA149" s="1029"/>
      <c r="AB149" s="1029"/>
      <c r="AC149" s="1030"/>
      <c r="AD149" s="805"/>
      <c r="AE149" s="805"/>
      <c r="AF149" s="805"/>
      <c r="AG149" s="805"/>
    </row>
    <row r="150" spans="1:33" ht="11.45" customHeight="1">
      <c r="A150" s="2600"/>
      <c r="B150" s="2691"/>
      <c r="C150" s="2614"/>
      <c r="D150" s="1032" t="s">
        <v>834</v>
      </c>
      <c r="E150" s="964">
        <f>IF(OR(Q26="i",Q26="k",Q26="m",Q26="o"),1,E148*E149)</f>
        <v>1.75</v>
      </c>
      <c r="F150" s="900" t="str">
        <f>IF(AND(D120=1,Q26&lt;&gt;""),"for filled joints, Jr = 1","")</f>
        <v/>
      </c>
      <c r="G150" s="1033"/>
      <c r="H150" s="820"/>
      <c r="I150" s="2600"/>
      <c r="J150" s="2614"/>
      <c r="K150" s="1034" t="s">
        <v>861</v>
      </c>
      <c r="L150" s="1348">
        <f>IF(E160="","",L148/E160)</f>
        <v>9.2926053118088578</v>
      </c>
      <c r="M150" s="1022" t="str">
        <f>IF(L148="?","",IF(AND(Q40&gt;0,Q40&lt;21),"Weakness zone",IF(L150&lt;T167,U167,IF(L150&lt;T168,U168,IF(L150&lt;T169,U169,IF(L150&lt;T170,U170,U171))))))</f>
        <v>discontinuous</v>
      </c>
      <c r="N150" s="871"/>
      <c r="O150" s="872"/>
      <c r="P150" s="1035"/>
      <c r="Q150" s="1036"/>
      <c r="R150" s="847" t="s">
        <v>257</v>
      </c>
      <c r="S150" s="848" t="s">
        <v>162</v>
      </c>
      <c r="T150" s="132">
        <v>4</v>
      </c>
      <c r="U150" s="144" t="s">
        <v>478</v>
      </c>
      <c r="V150" s="133"/>
      <c r="W150" s="133"/>
      <c r="X150" s="133"/>
      <c r="Y150" s="143"/>
      <c r="Z150" s="1745"/>
      <c r="AA150" s="1037"/>
      <c r="AB150" s="1030"/>
      <c r="AC150" s="1030"/>
      <c r="AD150" s="805"/>
      <c r="AE150" s="805"/>
      <c r="AF150" s="805"/>
      <c r="AG150" s="805"/>
    </row>
    <row r="151" spans="1:33" ht="11.45" customHeight="1">
      <c r="A151" s="2598" t="s">
        <v>134</v>
      </c>
      <c r="B151" s="2688"/>
      <c r="C151" s="2613"/>
      <c r="D151" s="825" t="s">
        <v>74</v>
      </c>
      <c r="E151" s="850">
        <f>IF(Q26="",1,IF(Q26="a",'Parameter tables'!L109,IF(Q26="b",'Parameter tables'!L110,IF(Q26="c",'Parameter tables'!L111,IF(Q26="d",'Parameter tables'!L112,IF(Q26="e",'Parameter tables'!L113,IF(Q26="f",'Parameter tables'!L114,"")))))))</f>
        <v>1</v>
      </c>
      <c r="F151" s="1038" t="str">
        <f>IF(Q26="","(common value)","")</f>
        <v>(common value)</v>
      </c>
      <c r="G151" s="1027"/>
      <c r="H151" s="820"/>
      <c r="I151" s="2642" t="s">
        <v>139</v>
      </c>
      <c r="J151" s="2644"/>
      <c r="K151" s="1039" t="s">
        <v>104</v>
      </c>
      <c r="L151" s="1040">
        <f>IF(Q34="",'Parameter tables'!L141,IF(Q34="a",'Parameter tables'!L141,IF(Q34="b",'Parameter tables'!L141,IF(Q34="c",'Parameter tables'!L141,IF(Q34="d",'Parameter tables'!L144,IF(Q34="e",'Parameter tables'!L145,IF(Q34="f",'Parameter tables'!L146,IF(Q34="g",'Parameter tables'!L147,"?"))))))))</f>
        <v>1</v>
      </c>
      <c r="M151" s="1041"/>
      <c r="N151" s="1042"/>
      <c r="O151" s="1043"/>
      <c r="P151" s="1044"/>
      <c r="Q151" s="858" t="s">
        <v>180</v>
      </c>
      <c r="R151" s="859">
        <f>T150</f>
        <v>4</v>
      </c>
      <c r="S151" s="860" t="s">
        <v>137</v>
      </c>
      <c r="T151" s="134">
        <v>10</v>
      </c>
      <c r="U151" s="138" t="s">
        <v>373</v>
      </c>
      <c r="V151" s="135"/>
      <c r="W151" s="135"/>
      <c r="X151" s="135"/>
      <c r="Y151" s="139"/>
      <c r="Z151" s="1745"/>
      <c r="AA151" s="1037"/>
      <c r="AB151" s="1030"/>
      <c r="AC151" s="1030"/>
      <c r="AD151" s="805"/>
      <c r="AE151" s="805"/>
      <c r="AF151" s="805"/>
      <c r="AG151" s="805"/>
    </row>
    <row r="152" spans="1:33" ht="11.45" customHeight="1">
      <c r="A152" s="2599"/>
      <c r="B152" s="2689"/>
      <c r="C152" s="2690"/>
      <c r="D152" s="825"/>
      <c r="E152" s="866" t="str">
        <f>IF(Q26="","",IF(Q26="h",'Parameter tables'!L117,IF(Q26="j",'Parameter tables'!L118,IF(Q26="l",'Parameter tables'!L119,IF(Q26="n",'Parameter tables'!L120,"")))))</f>
        <v/>
      </c>
      <c r="F152" s="1045" t="str">
        <f>IF(E152="","","filling &lt; 5mm")</f>
        <v/>
      </c>
      <c r="G152" s="1027"/>
      <c r="H152" s="820"/>
      <c r="I152" s="2573" t="s">
        <v>129</v>
      </c>
      <c r="J152" s="2640"/>
      <c r="K152" s="1046" t="s">
        <v>107</v>
      </c>
      <c r="L152" s="1047">
        <f>IF(Q36="",'Parameter tables'!L154,IF(Q36="a",'Parameter tables'!L152,IF(Q36="b",'Parameter tables'!L153,IF(Q36="c",'Parameter tables'!L154,IF(Q36="d",'Parameter tables'!L155,IF(Q36="e",'Parameter tables'!M158,IF(Q36="f",'Parameter tables'!M159,IF(Q36="g",'Parameter tables'!M160,1))))))))</f>
        <v>1</v>
      </c>
      <c r="M152" s="851" t="s">
        <v>812</v>
      </c>
      <c r="N152" s="851"/>
      <c r="O152" s="1048"/>
      <c r="P152" s="1044"/>
      <c r="Q152" s="858" t="s">
        <v>180</v>
      </c>
      <c r="R152" s="859">
        <f>T151</f>
        <v>10</v>
      </c>
      <c r="S152" s="860" t="s">
        <v>137</v>
      </c>
      <c r="T152" s="134">
        <v>40</v>
      </c>
      <c r="U152" s="135" t="s">
        <v>181</v>
      </c>
      <c r="V152" s="135"/>
      <c r="W152" s="135"/>
      <c r="X152" s="135"/>
      <c r="Y152" s="139"/>
      <c r="Z152" s="1746"/>
      <c r="AA152" s="1037"/>
      <c r="AB152" s="1030"/>
      <c r="AC152" s="1030"/>
      <c r="AD152" s="805"/>
      <c r="AE152" s="805"/>
      <c r="AF152" s="805"/>
      <c r="AG152" s="805"/>
    </row>
    <row r="153" spans="1:33" ht="11.45" customHeight="1">
      <c r="A153" s="2599"/>
      <c r="B153" s="2689"/>
      <c r="C153" s="2690"/>
      <c r="D153" s="1049"/>
      <c r="E153" s="866" t="str">
        <f>IF(Q26="","",IF(Q26="i",'Parameter tables'!M117,IF(Q26="k",'Parameter tables'!M118,IF(Q26="m",'Parameter tables'!M119,IF(Q26="o",'Parameter tables'!M120,IF(Q26="o",'Parameter tables'!M120,""))))))</f>
        <v/>
      </c>
      <c r="F153" s="1045" t="str">
        <f>IF(E153="","","filling &gt; 5mm")</f>
        <v/>
      </c>
      <c r="G153" s="1027"/>
      <c r="H153" s="820"/>
      <c r="I153" s="2575"/>
      <c r="J153" s="2641"/>
      <c r="K153" s="919" t="s">
        <v>862</v>
      </c>
      <c r="L153" s="984" t="str">
        <f>IF(Q36&lt;&gt;"d","",IF(AND(Q36="d",L148&gt;20),'Parameter tables'!U156,IF(AND(Q36="d",L148&gt;10),'Parameter tables'!S156,'Parameter tables'!Q156)))</f>
        <v/>
      </c>
      <c r="M153" s="1022" t="s">
        <v>329</v>
      </c>
      <c r="N153" s="871"/>
      <c r="O153" s="872"/>
      <c r="P153" s="1044"/>
      <c r="Q153" s="858" t="s">
        <v>180</v>
      </c>
      <c r="R153" s="859">
        <f>T152</f>
        <v>40</v>
      </c>
      <c r="S153" s="860" t="s">
        <v>137</v>
      </c>
      <c r="T153" s="134">
        <v>100</v>
      </c>
      <c r="U153" s="138" t="s">
        <v>374</v>
      </c>
      <c r="V153" s="135"/>
      <c r="W153" s="135"/>
      <c r="X153" s="135"/>
      <c r="Y153" s="139"/>
      <c r="Z153" s="1746"/>
      <c r="AA153" s="1037"/>
      <c r="AB153" s="1030"/>
      <c r="AC153" s="1030"/>
      <c r="AD153" s="805"/>
      <c r="AE153" s="805"/>
      <c r="AF153" s="805"/>
      <c r="AG153" s="805"/>
    </row>
    <row r="154" spans="1:33" ht="11.45" customHeight="1">
      <c r="A154" s="2600"/>
      <c r="B154" s="2691"/>
      <c r="C154" s="2614"/>
      <c r="D154" s="1050" t="s">
        <v>835</v>
      </c>
      <c r="E154" s="1051">
        <f>SUM(E151:E153)</f>
        <v>1</v>
      </c>
      <c r="F154" s="1052"/>
      <c r="G154" s="921"/>
      <c r="H154" s="1053"/>
      <c r="I154" s="2601" t="s">
        <v>12</v>
      </c>
      <c r="J154" s="2602"/>
      <c r="K154" s="1032" t="s">
        <v>863</v>
      </c>
      <c r="L154" s="964">
        <f>IF(Q18&lt;&gt;"",N154,IF(E159&gt;'Parameter tables'!O74,'Parameter tables'!L74,IF(E159&gt;'Parameter tables'!O75,'Parameter tables'!L75,IF(E159&gt;'Parameter tables'!O76,'Parameter tables'!L76,IF(E159&gt;'Parameter tables'!O77,'Parameter tables'!L77,IF(E159&gt;'Parameter tables'!O78,'Parameter tables'!L78,IF(E159&gt;'Parameter tables'!O79,'Parameter tables'!L79,IF(E159&gt;'Parameter tables'!O80,'Parameter tables'!L80,'Parameter tables'!L81))))))))</f>
        <v>1.2</v>
      </c>
      <c r="M154" s="1022" t="str">
        <f>IF(N154="","","(from jN input =")</f>
        <v/>
      </c>
      <c r="N154" s="871" t="str">
        <f>IF(Q18="","",IF(Q18="a",'Parameter tables'!L74,IF(Q18="b",'Parameter tables'!L75,IF(Q18="c",'Parameter tables'!L76,IF(Q18="d",'Parameter tables'!L77,IF(Q18="e",'Parameter tables'!L78,IF(Q18="f",'Parameter tables'!L79,IF(Q18="g",'Parameter tables'!L80,IF(Q18="h",'Parameter tables'!L81,IF(Q18="i",'Parameter tables'!L82,""))))))))))</f>
        <v/>
      </c>
      <c r="O154" s="872"/>
      <c r="P154" s="1054"/>
      <c r="Q154" s="858" t="s">
        <v>180</v>
      </c>
      <c r="R154" s="859">
        <f>T153</f>
        <v>100</v>
      </c>
      <c r="S154" s="860" t="s">
        <v>137</v>
      </c>
      <c r="T154" s="134">
        <v>400</v>
      </c>
      <c r="U154" s="138" t="s">
        <v>605</v>
      </c>
      <c r="V154" s="135"/>
      <c r="W154" s="135"/>
      <c r="X154" s="135"/>
      <c r="Y154" s="139"/>
      <c r="Z154" s="1746"/>
      <c r="AA154" s="1037"/>
      <c r="AB154" s="1030"/>
      <c r="AC154" s="1030"/>
      <c r="AD154" s="805"/>
      <c r="AE154" s="805"/>
      <c r="AF154" s="805"/>
      <c r="AG154" s="805"/>
    </row>
    <row r="155" spans="1:33" ht="11.45" customHeight="1">
      <c r="A155" s="2638" t="s">
        <v>524</v>
      </c>
      <c r="B155" s="2667"/>
      <c r="C155" s="2639"/>
      <c r="D155" s="1049" t="s">
        <v>81</v>
      </c>
      <c r="E155" s="1055">
        <f>IF(Q30="",1,IF(Q30="a",'Parameter tables'!L124,IF(Q30="b",'Parameter tables'!L125,IF(Q30="c",'Parameter tables'!L126,IF(Q30="d",'Parameter tables'!L127,IF(Q30="e",'Parameter tables'!L128,IF(Q30="f",'Parameter tables'!L129,IF(Q30="g",'Parameter tables'!L130,"?"))))))))</f>
        <v>1</v>
      </c>
      <c r="F155" s="1038" t="str">
        <f>IF(Q30="","(common value)","")</f>
        <v>(common value)</v>
      </c>
      <c r="G155" s="1027"/>
      <c r="H155" s="1053"/>
      <c r="I155" s="2601" t="s">
        <v>130</v>
      </c>
      <c r="J155" s="2602"/>
      <c r="K155" s="1056" t="s">
        <v>864</v>
      </c>
      <c r="L155" s="1057">
        <f>IF(Q20="",'Parameter tables'!L87,IF(Q20="a",'Parameter tables'!L85,IF(Q20="b",'Parameter tables'!L86,IF(Q20="c",'Parameter tables'!L87,IF(Q20="d",'Parameter tables'!L88,IF(Q20="e",'Parameter tables'!L89,"?"))))))</f>
        <v>1.5</v>
      </c>
      <c r="M155" s="1058" t="s">
        <v>865</v>
      </c>
      <c r="N155" s="1059">
        <f>IF(Q21="",'Parameter tables'!L87,IF(Q21="a",'Parameter tables'!L85,IF(Q21="b",'Parameter tables'!L86,IF(Q21="c",'Parameter tables'!L87,IF(Q21="d",'Parameter tables'!L88,IF(Q21="e",'Parameter tables'!L89,"?"))))))</f>
        <v>1.5</v>
      </c>
      <c r="O155" s="1060"/>
      <c r="P155" s="1061"/>
      <c r="Q155" s="1062"/>
      <c r="R155" s="889" t="s">
        <v>257</v>
      </c>
      <c r="S155" s="890" t="s">
        <v>161</v>
      </c>
      <c r="T155" s="891">
        <f>T154</f>
        <v>400</v>
      </c>
      <c r="U155" s="145" t="s">
        <v>616</v>
      </c>
      <c r="V155" s="137"/>
      <c r="W155" s="137"/>
      <c r="X155" s="137"/>
      <c r="Y155" s="146"/>
      <c r="Z155" s="1746"/>
      <c r="AA155" s="1750"/>
      <c r="AB155" s="1030"/>
      <c r="AC155" s="805"/>
      <c r="AD155" s="805"/>
      <c r="AE155" s="805"/>
      <c r="AF155" s="805"/>
      <c r="AG155" s="805"/>
    </row>
    <row r="156" spans="1:33" ht="11.45" customHeight="1">
      <c r="A156" s="2696" t="s">
        <v>525</v>
      </c>
      <c r="B156" s="2730"/>
      <c r="C156" s="2697"/>
      <c r="D156" s="1032" t="s">
        <v>521</v>
      </c>
      <c r="E156" s="1051">
        <f>E150*E155/E154</f>
        <v>1.75</v>
      </c>
      <c r="F156" s="1063"/>
      <c r="G156" s="1064"/>
      <c r="H156" s="1065"/>
      <c r="I156" s="2601" t="s">
        <v>529</v>
      </c>
      <c r="J156" s="2678"/>
      <c r="K156" s="951" t="s">
        <v>866</v>
      </c>
      <c r="L156" s="1346">
        <f>IF(Q11="","",IF(E161&gt;E162,E162*E147,E161*E147))</f>
        <v>9.3065814630399668</v>
      </c>
      <c r="M156" s="1066" t="str">
        <f>IF(L156="","",IF(L156&gt;T134,U134,IF(L156&gt;T135,U135,IF(L156&gt;T136,U136,IF(L156&gt;T137,U137,IF(L156&gt;T138,U138,U139))))))</f>
        <v>moderate</v>
      </c>
      <c r="N156" s="1067"/>
      <c r="O156" s="1068"/>
      <c r="P156" s="58"/>
      <c r="Q156" s="818"/>
      <c r="R156" s="898"/>
      <c r="S156" s="818"/>
      <c r="T156" s="818"/>
      <c r="U156" s="818"/>
      <c r="V156" s="818"/>
      <c r="W156" s="818"/>
      <c r="X156" s="818"/>
      <c r="Y156" s="818"/>
      <c r="Z156" s="818"/>
      <c r="AA156" s="818"/>
      <c r="AB156" s="805"/>
      <c r="AC156" s="805"/>
      <c r="AD156" s="805"/>
      <c r="AE156" s="805"/>
      <c r="AF156" s="805"/>
      <c r="AG156" s="805"/>
    </row>
    <row r="157" spans="1:33" ht="11.45" customHeight="1">
      <c r="A157" s="2642" t="s">
        <v>526</v>
      </c>
      <c r="B157" s="2643"/>
      <c r="C157" s="2644"/>
      <c r="D157" s="1069" t="s">
        <v>836</v>
      </c>
      <c r="E157" s="1070">
        <f>IF(Q16="",'Parameter tables'!M69,IF(Q16="a",'Parameter tables'!M68,IF(Q16="b",'Parameter tables'!M69,IF(Q16="c",'Parameter tables'!M70,IF(Q16="d",'Parameter tables'!M71,IF(Q16="e",'Parameter tables'!M72,"?"))))))</f>
        <v>37</v>
      </c>
      <c r="F157" s="1071" t="str">
        <f>IF(E157&lt;31,"cubical",IF(E157&lt;39,"slightly long or flat blocks",IF(E157&lt;61,"mod. long or flat",IF(E157&lt;151,"very long or flat",IF(E157&gt;150,"extremely long or flat","?")))))</f>
        <v>slightly long or flat blocks</v>
      </c>
      <c r="G157" s="953"/>
      <c r="H157" s="820"/>
      <c r="I157" s="1072" t="s">
        <v>789</v>
      </c>
      <c r="J157" s="1073"/>
      <c r="K157" s="1073"/>
      <c r="L157" s="1073"/>
      <c r="M157" s="1073"/>
      <c r="N157" s="1074"/>
      <c r="O157" s="1074"/>
      <c r="P157" s="58"/>
      <c r="Q157" s="903" t="s">
        <v>881</v>
      </c>
      <c r="R157" s="1075"/>
      <c r="S157" s="1076"/>
      <c r="T157" s="1076"/>
      <c r="U157" s="818"/>
      <c r="V157" s="818"/>
      <c r="W157" s="818"/>
      <c r="X157" s="818"/>
      <c r="Y157" s="818"/>
      <c r="Z157" s="805"/>
      <c r="AA157" s="818"/>
      <c r="AB157" s="805"/>
      <c r="AC157" s="805"/>
      <c r="AD157" s="805"/>
      <c r="AE157" s="805"/>
      <c r="AF157" s="805"/>
      <c r="AG157" s="805"/>
    </row>
    <row r="158" spans="1:33" ht="11.45" customHeight="1">
      <c r="A158" s="2573" t="s">
        <v>837</v>
      </c>
      <c r="B158" s="2574"/>
      <c r="C158" s="2640"/>
      <c r="D158" s="1078" t="s">
        <v>121</v>
      </c>
      <c r="E158" s="1018">
        <f>IF(Q11="","",IF(Q11="a",'Parameter tables'!L41,IF(Q11="b",'Parameter tables'!L42,IF(Q11="c",'Parameter tables'!L43,IF(Q11="d",'Parameter tables'!L44,IF(Q11="e",'Parameter tables'!L45,IF(Q11="f",'Parameter tables'!L46,IF(Q11="g",'Parameter tables'!L47,""))))))))</f>
        <v>4.2500000000000003E-2</v>
      </c>
      <c r="F158" s="1079" t="str">
        <f>IF(G158="","","m³   from DJ =")</f>
        <v/>
      </c>
      <c r="G158" s="1080" t="str">
        <f>IF(E158&lt;0.01,E158*1000,"")</f>
        <v/>
      </c>
      <c r="H158" s="1081"/>
      <c r="I158" s="1031"/>
      <c r="J158" s="1082"/>
      <c r="K158" s="1083" t="s">
        <v>653</v>
      </c>
      <c r="L158" s="1084" t="s">
        <v>709</v>
      </c>
      <c r="M158" s="1085"/>
      <c r="N158" s="1086"/>
      <c r="O158" s="1087"/>
      <c r="P158" s="1088"/>
      <c r="Q158" s="1036"/>
      <c r="R158" s="847" t="s">
        <v>314</v>
      </c>
      <c r="S158" s="848" t="s">
        <v>161</v>
      </c>
      <c r="T158" s="1089">
        <f>T159</f>
        <v>100</v>
      </c>
      <c r="U158" s="144" t="s">
        <v>479</v>
      </c>
      <c r="V158" s="133"/>
      <c r="W158" s="133"/>
      <c r="X158" s="133"/>
      <c r="Y158" s="143"/>
      <c r="Z158" s="1747"/>
      <c r="AA158" s="818"/>
      <c r="AB158" s="805"/>
      <c r="AC158" s="805"/>
      <c r="AD158" s="805"/>
      <c r="AE158" s="805"/>
      <c r="AF158" s="805"/>
      <c r="AG158" s="805"/>
    </row>
    <row r="159" spans="1:33" ht="11.45" customHeight="1">
      <c r="A159" s="2575"/>
      <c r="B159" s="2576"/>
      <c r="C159" s="2641"/>
      <c r="D159" s="919" t="s">
        <v>838</v>
      </c>
      <c r="E159" s="1013">
        <f>IF(G159&lt;&gt;"",G159/1000,E158)</f>
        <v>4.2500000000000003E-2</v>
      </c>
      <c r="F159" s="1090" t="str">
        <f>IF(Q14&lt;&gt;"","m³                 =",IF(Q15&lt;&gt;"","m³                =",""))</f>
        <v/>
      </c>
      <c r="G159" s="1091" t="str">
        <f>IF(Q14&lt;&gt;"",Q14,IF(Q15&lt;&gt;"",(E157*Q15^-3)*1000,""))</f>
        <v/>
      </c>
      <c r="H159" s="820"/>
      <c r="I159" s="2598" t="s">
        <v>328</v>
      </c>
      <c r="J159" s="1092" t="s">
        <v>867</v>
      </c>
      <c r="K159" s="1339">
        <f>IF(L156="","",L156*L152/L151)</f>
        <v>9.3065814630399668</v>
      </c>
      <c r="L159" s="1339">
        <f>IF(E181="","",E181*E170/E175)</f>
        <v>2.1500111942820852</v>
      </c>
      <c r="M159" s="1093" t="str">
        <f>IF(OR(K159="",M151="overstressed"),"",IF(K159&gt;$T$142,$U$142,IF(K159&gt;$T$143,$U$143,IF(K159&gt;$T$144,$U$144,IF(K159&gt;$T$145,$U$145,IF(K159&gt;$T$146,$U$146,$U$147))))))</f>
        <v>fair</v>
      </c>
      <c r="N159" s="1094" t="str">
        <f>IF(OR(L159="",N151="overstressed"),"",IF(L159&gt;$T$142,$U$142,IF(L159&gt;$T$143,$U$143,IF(L159&gt;$T$144,$U$144,IF(L159&gt;$T$145,$U$145,IF(L159&gt;$T$146,$U$146,$U$147))))))</f>
        <v>fair</v>
      </c>
      <c r="O159" s="1048"/>
      <c r="P159" s="1095"/>
      <c r="Q159" s="858" t="s">
        <v>121</v>
      </c>
      <c r="R159" s="859">
        <f>T160</f>
        <v>30</v>
      </c>
      <c r="S159" s="860" t="s">
        <v>77</v>
      </c>
      <c r="T159" s="134">
        <v>100</v>
      </c>
      <c r="U159" s="138" t="s">
        <v>480</v>
      </c>
      <c r="V159" s="135"/>
      <c r="W159" s="135"/>
      <c r="X159" s="135"/>
      <c r="Y159" s="139"/>
      <c r="Z159" s="1747"/>
      <c r="AB159" s="805"/>
      <c r="AC159" s="805"/>
      <c r="AD159" s="805"/>
      <c r="AE159" s="805"/>
      <c r="AF159" s="805"/>
      <c r="AG159" s="805"/>
    </row>
    <row r="160" spans="1:33" ht="11.45" customHeight="1">
      <c r="A160" s="2601" t="s">
        <v>702</v>
      </c>
      <c r="B160" s="2678"/>
      <c r="C160" s="2602"/>
      <c r="D160" s="1096" t="s">
        <v>522</v>
      </c>
      <c r="E160" s="1343">
        <f>IF(E158="","",E157*(E159^0.3333)/'Parameter tables'!M68)</f>
        <v>0.4304497894596771</v>
      </c>
      <c r="F160" s="1071" t="s">
        <v>128</v>
      </c>
      <c r="G160" s="953"/>
      <c r="H160" s="1097"/>
      <c r="I160" s="2599"/>
      <c r="J160" s="1098" t="s">
        <v>868</v>
      </c>
      <c r="K160" s="2596">
        <f>IF(O$61="",K159,L159)</f>
        <v>2.1500111942820852</v>
      </c>
      <c r="L160" s="2597"/>
      <c r="M160" s="1099" t="str">
        <f>IF(K160="","",IF(K160&gt;$T$142,$U$142,IF(K160&gt;$T$143,$U$143,IF(K160&gt;$T$144,$U$144,IF(K160&gt;$T$145,$U$145,IF(K160&gt;$T$146,$U$146,$U$147))))))</f>
        <v>fair</v>
      </c>
      <c r="N160" s="862"/>
      <c r="O160" s="1100"/>
      <c r="P160" s="1095"/>
      <c r="Q160" s="858" t="s">
        <v>121</v>
      </c>
      <c r="R160" s="859">
        <f>T161</f>
        <v>1</v>
      </c>
      <c r="S160" s="860" t="s">
        <v>77</v>
      </c>
      <c r="T160" s="134">
        <v>30</v>
      </c>
      <c r="U160" s="138" t="s">
        <v>481</v>
      </c>
      <c r="V160" s="135"/>
      <c r="W160" s="135"/>
      <c r="X160" s="135"/>
      <c r="Y160" s="139"/>
      <c r="Z160" s="1747"/>
      <c r="AB160" s="805"/>
      <c r="AC160" s="805"/>
      <c r="AD160" s="805"/>
      <c r="AE160" s="805"/>
      <c r="AF160" s="805"/>
      <c r="AG160" s="805"/>
    </row>
    <row r="161" spans="1:33" ht="11.45" customHeight="1">
      <c r="A161" s="2642" t="s">
        <v>527</v>
      </c>
      <c r="B161" s="2643"/>
      <c r="C161" s="2644"/>
      <c r="D161" s="1039" t="s">
        <v>523</v>
      </c>
      <c r="E161" s="1345">
        <f>IF(E158="","",0.2*SQRT(E156)*E159^(0.37*(E156)^-0.2))</f>
        <v>9.3065814630399674E-2</v>
      </c>
      <c r="F161" s="1101"/>
      <c r="G161" s="953"/>
      <c r="H161" s="820"/>
      <c r="I161" s="2599"/>
      <c r="J161" s="1092" t="s">
        <v>869</v>
      </c>
      <c r="K161" s="1339">
        <f>IF(L156="","",IF(Q36="d",5*L156*L153/L151,5*L156*L152/L151))</f>
        <v>46.532907315199836</v>
      </c>
      <c r="L161" s="1339">
        <f>IF(E181="","",IF(Q36="d",5*E181*L153/L151,5*E181*1/L151))</f>
        <v>10.750055971410426</v>
      </c>
      <c r="M161" s="1102" t="str">
        <f>IF(OR(K161="",M151="overstressed"),"",IF(K161&gt;$T$142,$U$142,IF(K161&gt;$T$143,$U$143,IF(K161&gt;$T$144,$U$144,IF(K161&gt;$T$145,$U$145,IF(K161&gt;$T$146,$U$146,$U$147))))))</f>
        <v>very good</v>
      </c>
      <c r="N161" s="1099" t="str">
        <f>IF(OR(L161="",N151="overstressed"),"",IF(L161&gt;$T$142,$U$142,IF(L161&gt;$T$143,$U$143,IF(L161&gt;$T$144,$U$144,IF(L161&gt;$T$145,$U$145,IF(L161&gt;$T$146,$U$146,$U$147))))))</f>
        <v>good</v>
      </c>
      <c r="O161" s="1103"/>
      <c r="P161" s="1095"/>
      <c r="Q161" s="858" t="s">
        <v>121</v>
      </c>
      <c r="R161" s="859">
        <f>T162</f>
        <v>0.03</v>
      </c>
      <c r="S161" s="860" t="s">
        <v>77</v>
      </c>
      <c r="T161" s="134">
        <v>1</v>
      </c>
      <c r="U161" s="138" t="s">
        <v>482</v>
      </c>
      <c r="V161" s="135"/>
      <c r="W161" s="135"/>
      <c r="X161" s="135"/>
      <c r="Y161" s="139"/>
      <c r="Z161" s="1747"/>
      <c r="AB161" s="805"/>
      <c r="AC161" s="805"/>
      <c r="AD161" s="805"/>
      <c r="AE161" s="805"/>
      <c r="AF161" s="805"/>
      <c r="AG161" s="805"/>
    </row>
    <row r="162" spans="1:33" ht="11.45" customHeight="1">
      <c r="A162" s="2642" t="s">
        <v>528</v>
      </c>
      <c r="B162" s="2643"/>
      <c r="C162" s="2644"/>
      <c r="D162" s="919" t="s">
        <v>997</v>
      </c>
      <c r="E162" s="1344">
        <f>IF(E158="","",IF(E158=0,"Vb =?",(0.05/E160)^0.2))</f>
        <v>0.65014391317662656</v>
      </c>
      <c r="F162" s="1104"/>
      <c r="G162" s="921"/>
      <c r="H162" s="820"/>
      <c r="I162" s="2600"/>
      <c r="J162" s="1105" t="s">
        <v>870</v>
      </c>
      <c r="K162" s="2596">
        <f>IF(O$61="",K161,L161)</f>
        <v>10.750055971410426</v>
      </c>
      <c r="L162" s="2597"/>
      <c r="M162" s="1106" t="str">
        <f>IF(K162="","",IF(K162&gt;$T$142,$U$142,IF(K162&gt;$T$143,$U$143,IF(K162&gt;$T$144,$U$144,IF(K162&gt;$T$145,$U$145,IF(K162&gt;$T$146,$U$146,$U$147))))))</f>
        <v>good</v>
      </c>
      <c r="N162" s="1107"/>
      <c r="O162" s="1108"/>
      <c r="P162" s="1095"/>
      <c r="Q162" s="859" t="s">
        <v>121</v>
      </c>
      <c r="R162" s="859">
        <f>T163</f>
        <v>1E-3</v>
      </c>
      <c r="S162" s="860" t="s">
        <v>77</v>
      </c>
      <c r="T162" s="134">
        <v>0.03</v>
      </c>
      <c r="U162" s="138" t="s">
        <v>483</v>
      </c>
      <c r="V162" s="135"/>
      <c r="W162" s="135"/>
      <c r="X162" s="135"/>
      <c r="Y162" s="139"/>
      <c r="Z162" s="1747"/>
      <c r="AB162" s="805"/>
      <c r="AC162" s="805"/>
      <c r="AD162" s="805"/>
      <c r="AE162" s="805"/>
      <c r="AF162" s="805"/>
      <c r="AG162" s="805"/>
    </row>
    <row r="163" spans="1:33" ht="11.45" customHeight="1">
      <c r="A163" s="2574"/>
      <c r="B163" s="2574"/>
      <c r="C163" s="2574"/>
      <c r="D163" s="1109"/>
      <c r="E163" s="1077"/>
      <c r="F163" s="1110"/>
      <c r="G163" s="1110"/>
      <c r="H163" s="820"/>
      <c r="I163" s="2573" t="s">
        <v>138</v>
      </c>
      <c r="J163" s="1046" t="s">
        <v>871</v>
      </c>
      <c r="K163" s="1339">
        <f>IF(L156="","",L147/E$160*L155/L$154)</f>
        <v>29.039391599402681</v>
      </c>
      <c r="L163" s="1347">
        <f>IF(E$181="","",IF(E177="no",E172/G168*E173/E169,L147/G$168*E173/E169))</f>
        <v>35.79717456884223</v>
      </c>
      <c r="M163" s="1093" t="str">
        <f>IF(OR(K163="",K163="overstressed"),"",IF(K163&lt;$T$150,$U$150,IF(K163&lt;$T$151,$U$151,IF(K163&lt;$T$152,$U$152,IF(K163&lt;$T$153,$U$153,IF(K163&lt;$T$154,$U$154,$U$155))))))</f>
        <v>fair</v>
      </c>
      <c r="N163" s="1094" t="str">
        <f>IF(OR(L163="",L163="overstressed"),"",IF(L163&lt;$T$150,$U$150,IF(L163&lt;$T$151,$U$151,IF(L163&lt;$T$152,$U$152,IF(L163&lt;$T$153,$U$153,IF(L163&lt;$T$154,$U$154,$U$155))))))</f>
        <v>fair</v>
      </c>
      <c r="O163" s="1048"/>
      <c r="P163" s="1095"/>
      <c r="Q163" s="859" t="s">
        <v>121</v>
      </c>
      <c r="R163" s="894">
        <f>T164</f>
        <v>1.0000000000000001E-5</v>
      </c>
      <c r="S163" s="860" t="s">
        <v>77</v>
      </c>
      <c r="T163" s="134">
        <v>1E-3</v>
      </c>
      <c r="U163" s="138" t="s">
        <v>484</v>
      </c>
      <c r="V163" s="135"/>
      <c r="W163" s="135"/>
      <c r="X163" s="135"/>
      <c r="Y163" s="139"/>
      <c r="Z163" s="1747"/>
      <c r="AB163" s="805"/>
      <c r="AC163" s="805"/>
      <c r="AD163" s="805"/>
      <c r="AE163" s="805"/>
      <c r="AF163" s="805"/>
      <c r="AG163" s="805"/>
    </row>
    <row r="164" spans="1:33" ht="11.45" customHeight="1">
      <c r="A164" s="829"/>
      <c r="B164" s="829"/>
      <c r="C164" s="982"/>
      <c r="D164" s="982"/>
      <c r="E164" s="829"/>
      <c r="F164" s="829"/>
      <c r="G164" s="829"/>
      <c r="H164" s="820"/>
      <c r="I164" s="2698"/>
      <c r="J164" s="1098" t="s">
        <v>872</v>
      </c>
      <c r="K164" s="2705">
        <f>IF(O$61="",K163,L163)</f>
        <v>35.79717456884223</v>
      </c>
      <c r="L164" s="2706"/>
      <c r="M164" s="1094" t="str">
        <f>IF(OR(K164="",K164="overstressed"),"",IF(K164&lt;$T$150,$U$150,IF(K164&lt;$T$151,$U$151,IF(K164&lt;$T$152,$U$152,IF(K164&lt;T153,$U$153,IF(K164&lt;$T$154,$U$154,$U$155))))))</f>
        <v>fair</v>
      </c>
      <c r="N164" s="1111"/>
      <c r="O164" s="1100"/>
      <c r="P164" s="1095"/>
      <c r="Q164" s="1062"/>
      <c r="R164" s="889" t="s">
        <v>314</v>
      </c>
      <c r="S164" s="1112" t="s">
        <v>289</v>
      </c>
      <c r="T164" s="140">
        <v>1.0000000000000001E-5</v>
      </c>
      <c r="U164" s="141" t="s">
        <v>485</v>
      </c>
      <c r="V164" s="140"/>
      <c r="W164" s="140"/>
      <c r="X164" s="140"/>
      <c r="Y164" s="142"/>
      <c r="Z164" s="1747"/>
      <c r="AA164" s="818"/>
      <c r="AB164" s="805"/>
      <c r="AC164" s="805"/>
      <c r="AD164" s="805"/>
      <c r="AE164" s="805"/>
      <c r="AF164" s="805"/>
      <c r="AG164" s="805"/>
    </row>
    <row r="165" spans="1:33" ht="11.45" customHeight="1">
      <c r="A165" s="1113" t="s">
        <v>935</v>
      </c>
      <c r="B165" s="1114"/>
      <c r="C165" s="1114"/>
      <c r="D165" s="1114"/>
      <c r="E165" s="1114"/>
      <c r="F165" s="1114"/>
      <c r="G165" s="1114"/>
      <c r="H165" s="820"/>
      <c r="I165" s="2698"/>
      <c r="J165" s="1092" t="s">
        <v>873</v>
      </c>
      <c r="K165" s="1339">
        <f>IF(L$156="","",IF(E178="no",E172/E160*N155/L$154,L148/E160*N155/L$154))</f>
        <v>2.9039391599402684</v>
      </c>
      <c r="L165" s="1347">
        <f>IF(E$181="","",IF(E178="no",E172/G168*E174/E169,L148/G168*E174/E169))</f>
        <v>35.79717456884223</v>
      </c>
      <c r="M165" s="1102" t="str">
        <f>IF(OR(K165="",K165="overstressed"),"",IF(K165&lt;$T$150,$U$150,IF(K165&lt;$T$151,$U$151,IF(K165&lt;$T$152,$U$152,IF(K165&lt;$T$153,$U$153,IF(K165&lt;$T$154,$U$154,$U$155))))))</f>
        <v>v. favourable</v>
      </c>
      <c r="N165" s="1094" t="str">
        <f>IF(OR(L165="",L165="overstressed"),"",IF(L165&lt;$T$150,$U$150,IF(L165&lt;$T$151,$U$151,IF(L165&lt;$T$152,$U$152,IF(L165&lt;$T$153,$U$153,IF(L165&lt;$T$154,$U$154,$U$155))))))</f>
        <v>fair</v>
      </c>
      <c r="O165" s="1103"/>
      <c r="P165" s="1115"/>
      <c r="AA165" s="818"/>
      <c r="AB165" s="805"/>
      <c r="AC165" s="805"/>
      <c r="AD165" s="805"/>
      <c r="AE165" s="805"/>
      <c r="AF165" s="805"/>
      <c r="AG165" s="805"/>
    </row>
    <row r="166" spans="1:33" ht="11.45" customHeight="1">
      <c r="A166" s="1623" t="s">
        <v>713</v>
      </c>
      <c r="B166" s="1624"/>
      <c r="C166" s="1624"/>
      <c r="D166" s="1625" t="s">
        <v>385</v>
      </c>
      <c r="E166" s="1626">
        <f>IF(Q38="","",IF(Q39&lt;&gt;"",Q39,IF(Q38="f",'Parameter tables'!S167,IF(Q38="g",'Parameter tables'!S168,IF(Q38="h",'Parameter tables'!S169,IF(Q38="i",'Parameter tables'!S170,""))))))</f>
        <v>75</v>
      </c>
      <c r="F166" s="1627" t="s">
        <v>714</v>
      </c>
      <c r="G166" s="1116"/>
      <c r="H166" s="820"/>
      <c r="I166" s="2575"/>
      <c r="J166" s="1105" t="s">
        <v>874</v>
      </c>
      <c r="K166" s="2596">
        <f>IF(O$61="",K165,L165)</f>
        <v>35.79717456884223</v>
      </c>
      <c r="L166" s="2597"/>
      <c r="M166" s="1117" t="str">
        <f>IF(OR(K166="",K166="overstressed"),"",IF(K166&lt;$T$150,$U$150,IF(K166&lt;$T$151,$U$151,IF(K166&lt;$T$152,$U$152,IF(K166&lt;$T$153,$U$153,IF(K166&lt;$T$154,$U$154,$U$155))))))</f>
        <v>fair</v>
      </c>
      <c r="N166" s="1118"/>
      <c r="O166" s="995"/>
      <c r="P166" s="1115"/>
      <c r="Q166" s="835" t="s">
        <v>828</v>
      </c>
      <c r="R166" s="820"/>
      <c r="S166" s="820"/>
      <c r="T166" s="820"/>
      <c r="U166" s="820"/>
      <c r="V166" s="820"/>
      <c r="W166" s="820"/>
      <c r="X166" s="820"/>
      <c r="Y166" s="820"/>
      <c r="Z166" s="835"/>
      <c r="AA166" s="1119"/>
      <c r="AB166" s="1119"/>
      <c r="AC166" s="1119"/>
      <c r="AD166" s="1119"/>
      <c r="AE166" s="805"/>
      <c r="AF166" s="805"/>
      <c r="AG166" s="805"/>
    </row>
    <row r="167" spans="1:33" ht="11.45" customHeight="1">
      <c r="A167" s="1628" t="s">
        <v>694</v>
      </c>
      <c r="B167" s="1629"/>
      <c r="C167" s="1630"/>
      <c r="D167" s="1631" t="s">
        <v>1142</v>
      </c>
      <c r="E167" s="1632">
        <f>IF(Q38="","",IF(Q41="",L192*1000,Q41))</f>
        <v>0.1</v>
      </c>
      <c r="F167" s="1633" t="s">
        <v>1143</v>
      </c>
      <c r="G167" s="1120">
        <f>IF(E167="","",E167/1000)</f>
        <v>1E-4</v>
      </c>
      <c r="H167" s="805"/>
      <c r="I167" s="2584" t="s">
        <v>391</v>
      </c>
      <c r="J167" s="2585"/>
      <c r="K167" s="1121" t="str">
        <f>IF(O61="","",IF(OR(Q38="f",Q38="g",Q38="h"),"Weak zone may need further evaluations",IF(Q38="i","Zones with soft filling are poorly covered by RMi",IF(Q26="o","Filling of swelling clay is not included in RMi",""))))</f>
        <v>Weak zone may need further evaluations</v>
      </c>
      <c r="L167" s="1121"/>
      <c r="M167" s="1121"/>
      <c r="N167" s="1121"/>
      <c r="O167" s="1122"/>
      <c r="P167" s="1115"/>
      <c r="Q167" s="846" t="s">
        <v>827</v>
      </c>
      <c r="R167" s="911">
        <v>0</v>
      </c>
      <c r="S167" s="848" t="s">
        <v>137</v>
      </c>
      <c r="T167" s="132">
        <v>3</v>
      </c>
      <c r="U167" s="133" t="s">
        <v>829</v>
      </c>
      <c r="V167" s="133"/>
      <c r="W167" s="133"/>
      <c r="X167" s="133"/>
      <c r="Y167" s="133"/>
      <c r="Z167" s="1748"/>
      <c r="AA167" s="66"/>
      <c r="AB167" s="1123"/>
      <c r="AC167" s="310"/>
      <c r="AD167" s="1124"/>
      <c r="AE167" s="805"/>
      <c r="AF167" s="805"/>
      <c r="AG167" s="805"/>
    </row>
    <row r="168" spans="1:33" ht="11.45" customHeight="1">
      <c r="A168" s="931" t="s">
        <v>695</v>
      </c>
      <c r="B168" s="1634"/>
      <c r="C168" s="1635"/>
      <c r="D168" s="1636" t="s">
        <v>1144</v>
      </c>
      <c r="E168" s="1668">
        <f>IF(E167="","",M192*10)</f>
        <v>0.46558609352295899</v>
      </c>
      <c r="F168" s="1637" t="s">
        <v>697</v>
      </c>
      <c r="G168" s="1667">
        <f>IF(E168="","",E168/10)</f>
        <v>4.6558609352295902E-2</v>
      </c>
      <c r="H168" s="805"/>
      <c r="I168" s="2586"/>
      <c r="J168" s="2587"/>
      <c r="K168" s="1125" t="str">
        <f>IF(K160="","",IF(OR(K160&lt;0.01,K164&lt;K160^-1.3,K164&gt;600),"Beyond the limit of RMi support method",""))</f>
        <v/>
      </c>
      <c r="L168" s="1125"/>
      <c r="M168" s="1125"/>
      <c r="N168" s="1125"/>
      <c r="O168" s="1126"/>
      <c r="P168" s="1115"/>
      <c r="Q168" s="858" t="s">
        <v>827</v>
      </c>
      <c r="R168" s="914">
        <f>T167</f>
        <v>3</v>
      </c>
      <c r="S168" s="860" t="s">
        <v>137</v>
      </c>
      <c r="T168" s="134">
        <v>6</v>
      </c>
      <c r="U168" s="135" t="s">
        <v>830</v>
      </c>
      <c r="V168" s="135"/>
      <c r="W168" s="135"/>
      <c r="X168" s="136"/>
      <c r="Y168" s="136"/>
      <c r="Z168" s="1748"/>
      <c r="AA168" s="1123"/>
      <c r="AB168" s="66"/>
      <c r="AC168" s="310"/>
      <c r="AD168" s="1124"/>
      <c r="AE168" s="805"/>
      <c r="AF168" s="805"/>
      <c r="AG168" s="805"/>
    </row>
    <row r="169" spans="1:33" ht="11.45" customHeight="1">
      <c r="A169" s="1638" t="s">
        <v>12</v>
      </c>
      <c r="B169" s="1639"/>
      <c r="C169" s="1640"/>
      <c r="D169" s="1641" t="s">
        <v>1145</v>
      </c>
      <c r="E169" s="1642">
        <f>IF(E167="","",IF(G167&gt;'Parameter tables'!O74,'Parameter tables'!L74,IF(G167&gt;'Parameter tables'!O75,'Parameter tables'!L75,IF(G167&gt;'Parameter tables'!O76,'Parameter tables'!L76,IF(G167&gt;'Parameter tables'!O77,'Parameter tables'!L77,IF(G167&gt;'Parameter tables'!O78,'Parameter tables'!L78,IF(G167&gt;'Parameter tables'!O79,'Parameter tables'!L79,IF(G167&gt;'Parameter tables'!O80,'Parameter tables'!L80,'Parameter tables'!L81))))))))</f>
        <v>0.6</v>
      </c>
      <c r="F169" s="1643"/>
      <c r="G169" s="1129"/>
      <c r="H169" s="1130"/>
      <c r="I169" s="2586"/>
      <c r="J169" s="2587"/>
      <c r="K169" s="1131" t="str">
        <f>IF(AND(Q36="e",E147&lt;E106),"Rock bursting takes place in brittle rock",IF(AND(Q36="f",E147&lt;E106),"Rock bursting takes place in brittle rock",IF(AND(Q36="g",E147&lt;E106),"Rock bursting takes place in brittle rock",IF(OR(Q36="h",Q36="i"),"Squeezing is not included in the RMi system",""))))</f>
        <v/>
      </c>
      <c r="L169" s="1132"/>
      <c r="M169" s="1132"/>
      <c r="N169" s="1132"/>
      <c r="O169" s="1133"/>
      <c r="P169" s="1115"/>
      <c r="Q169" s="858" t="s">
        <v>827</v>
      </c>
      <c r="R169" s="914">
        <f>T168</f>
        <v>6</v>
      </c>
      <c r="S169" s="860" t="s">
        <v>137</v>
      </c>
      <c r="T169" s="134">
        <v>15</v>
      </c>
      <c r="U169" s="135" t="s">
        <v>757</v>
      </c>
      <c r="V169" s="135"/>
      <c r="W169" s="135"/>
      <c r="X169" s="135"/>
      <c r="Y169" s="135"/>
      <c r="Z169" s="1748"/>
      <c r="AA169" s="66"/>
      <c r="AB169" s="1123"/>
      <c r="AC169" s="310"/>
      <c r="AD169" s="1124"/>
      <c r="AE169" s="805"/>
      <c r="AF169" s="805"/>
      <c r="AG169" s="805"/>
    </row>
    <row r="170" spans="1:33" ht="11.45" customHeight="1">
      <c r="A170" s="1644" t="s">
        <v>998</v>
      </c>
      <c r="B170" s="1183"/>
      <c r="C170" s="1183"/>
      <c r="D170" s="1645" t="s">
        <v>220</v>
      </c>
      <c r="E170" s="1646">
        <f>IF(Q38="","",IF(Q47="",'Parameter tables'!L194,IF(Q47="a",'Parameter tables'!L194,IF(Q47="b",'Parameter tables'!L195,IF(Q47="c",'Parameter tables'!L196,"?")))))</f>
        <v>1</v>
      </c>
      <c r="F170" s="1647"/>
      <c r="G170" s="1619"/>
      <c r="H170" s="1"/>
      <c r="I170" s="2586"/>
      <c r="J170" s="2587"/>
      <c r="K170" s="948" t="str">
        <f>IF(OR(Q36="e",Q36="f",Q36="g"),"Support of bursting is for span &lt; 15 m","")</f>
        <v/>
      </c>
      <c r="L170" s="1132"/>
      <c r="M170" s="1132"/>
      <c r="N170" s="1132"/>
      <c r="O170" s="1133"/>
      <c r="P170" s="1115"/>
      <c r="Q170" s="858" t="s">
        <v>827</v>
      </c>
      <c r="R170" s="914">
        <f>T169</f>
        <v>15</v>
      </c>
      <c r="S170" s="860" t="s">
        <v>137</v>
      </c>
      <c r="T170" s="134">
        <v>30</v>
      </c>
      <c r="U170" s="135" t="s">
        <v>831</v>
      </c>
      <c r="V170" s="135"/>
      <c r="W170" s="135"/>
      <c r="X170" s="136"/>
      <c r="Y170" s="136"/>
      <c r="Z170" s="1748"/>
      <c r="AA170" s="1123"/>
      <c r="AB170" s="66"/>
      <c r="AC170" s="310"/>
      <c r="AD170" s="1124"/>
      <c r="AE170" s="805"/>
      <c r="AF170" s="805"/>
      <c r="AG170" s="805"/>
    </row>
    <row r="171" spans="1:33" ht="11.45" customHeight="1">
      <c r="A171" s="1648" t="s">
        <v>693</v>
      </c>
      <c r="B171" s="928"/>
      <c r="C171" s="1649"/>
      <c r="D171" s="1631" t="s">
        <v>1146</v>
      </c>
      <c r="E171" s="1650">
        <f>IF(Q38="","",IF(AND(Q38&lt;&gt;"",Q44=""),I192,IF(Q44="a",'Parameter tables'!L184,IF(Q44="b",'Parameter tables'!L185,IF(Q44="c",'Parameter tables'!L186,IF(Q44="d",'Parameter tables'!L187,IF(Q44="e",'Parameter tables'!L188,IF(Q44="f",'Parameter tables'!L189,""))))))))</f>
        <v>1</v>
      </c>
      <c r="F171" s="1690" t="str">
        <f>IF(Q38="","",IF(AND(Q38="f",Q44=""),'Parameter tables'!A16,IF(AND(Q38="g",Q44=""),'Parameter tables'!A185,IF(AND(Q38="h",Q44=""),'Parameter tables'!A189,IF(Q44="a",'Parameter tables'!A184,IF(Q44="b",'Parameter tables'!A185,IF(Q44="c",'Parameter tables'!A186,IF(Q44="d",'Parameter tables'!A187,IF(Q44="e",'Parameter tables'!A188,IF(Q44="f",'Parameter tables'!A189,""))))))))))</f>
        <v>slightly altered joints</v>
      </c>
      <c r="G171" s="1135"/>
      <c r="H171" s="805"/>
      <c r="I171" s="2586"/>
      <c r="J171" s="2587"/>
      <c r="K171" s="2590" t="str">
        <f>IF(OR(Q34="d",Q34="e"),"Water inflow: Use of shotcrete may be difficult",IF(OR(Q34="f",Q34="g"),"Large inflows are outside the RMi limit",IF(OR(Q26="o",Q44="o"),"Swelling rocks and swelling fillings are not included in the RMi system","")))</f>
        <v/>
      </c>
      <c r="L171" s="2591"/>
      <c r="M171" s="2591"/>
      <c r="N171" s="2591"/>
      <c r="O171" s="2592"/>
      <c r="P171" s="1115"/>
      <c r="Q171" s="888" t="s">
        <v>827</v>
      </c>
      <c r="R171" s="950">
        <f>T170</f>
        <v>30</v>
      </c>
      <c r="S171" s="890" t="s">
        <v>137</v>
      </c>
      <c r="T171" s="1134">
        <v>8</v>
      </c>
      <c r="U171" s="1016" t="s">
        <v>832</v>
      </c>
      <c r="V171" s="1016"/>
      <c r="W171" s="1016"/>
      <c r="X171" s="1016"/>
      <c r="Y171" s="137"/>
      <c r="Z171" s="1749"/>
      <c r="AA171" s="66"/>
      <c r="AB171" s="1123"/>
      <c r="AC171" s="310"/>
      <c r="AD171" s="1124"/>
      <c r="AF171" s="805"/>
      <c r="AG171" s="805"/>
    </row>
    <row r="172" spans="1:33" ht="11.45" customHeight="1">
      <c r="A172" s="931" t="s">
        <v>689</v>
      </c>
      <c r="B172" s="1651"/>
      <c r="C172" s="1652"/>
      <c r="D172" s="1653" t="s">
        <v>140</v>
      </c>
      <c r="E172" s="1642">
        <f>IF(Q38="","",IF(Q40="",S106,IF(Q40&lt;&gt;"",Q40)))</f>
        <v>1</v>
      </c>
      <c r="F172" s="1654" t="s">
        <v>128</v>
      </c>
      <c r="G172" s="1129"/>
      <c r="H172" s="805"/>
      <c r="I172" s="2588"/>
      <c r="J172" s="2589"/>
      <c r="K172" s="2593"/>
      <c r="L172" s="2594"/>
      <c r="M172" s="2594"/>
      <c r="N172" s="2594"/>
      <c r="O172" s="2595"/>
      <c r="P172" s="990"/>
      <c r="Q172" s="58"/>
      <c r="R172" s="58"/>
      <c r="S172" s="58"/>
      <c r="T172" s="58"/>
      <c r="U172" s="58"/>
      <c r="V172" s="58"/>
      <c r="W172" s="58"/>
      <c r="X172" s="58"/>
      <c r="Y172" s="58"/>
      <c r="Z172" s="82"/>
      <c r="AA172" s="66"/>
      <c r="AB172" s="1123"/>
      <c r="AC172" s="310"/>
      <c r="AD172" s="1124"/>
      <c r="AF172" s="805"/>
      <c r="AG172" s="805"/>
    </row>
    <row r="173" spans="1:33" ht="11.45" customHeight="1">
      <c r="A173" s="2726" t="s">
        <v>141</v>
      </c>
      <c r="B173" s="2727"/>
      <c r="C173" s="1655" t="s">
        <v>661</v>
      </c>
      <c r="D173" s="1656" t="s">
        <v>1147</v>
      </c>
      <c r="E173" s="1657">
        <f>IF(E172="","",IF(Q42="",'Parameter tables'!L177,IF(Q42="a",'Parameter tables'!L176,IF(Q42="b",'Parameter tables'!L177,IF(Q42="c",'Parameter tables'!L178,IF(Q42="d",'Parameter tables'!L179,IF(Q42="e",'Parameter tables'!L180,"?")))))))</f>
        <v>1</v>
      </c>
      <c r="F173" s="1658"/>
      <c r="G173" s="1135"/>
      <c r="H173" s="805"/>
      <c r="I173" s="2573" t="s">
        <v>875</v>
      </c>
      <c r="J173" s="2574"/>
      <c r="K173" s="1078" t="s">
        <v>653</v>
      </c>
      <c r="L173" s="1622">
        <f>IF(Q11="","",IF(K163&gt;=7*(K159^(0.27*K159^-0.1)),((10/L147)^0.5)*(E156+1)*((E147/100)^0.4)*K159^(-0.65*E156^0.25),((10/L147)^0.5)*0.4*E156*((E147/100)^0.4)*K159^(-0.65*E156^0.25)))</f>
        <v>0.51887074983725046</v>
      </c>
      <c r="M173" s="66"/>
      <c r="O173" s="1618"/>
      <c r="P173" s="1090"/>
      <c r="Q173" s="1090"/>
      <c r="R173" s="58"/>
      <c r="S173" s="58"/>
      <c r="T173" s="58"/>
      <c r="U173" s="58"/>
      <c r="V173" s="58"/>
      <c r="W173" s="58"/>
      <c r="X173" s="58"/>
      <c r="Y173" s="58"/>
      <c r="Z173" s="82"/>
      <c r="AA173" s="66"/>
      <c r="AB173" s="1123"/>
      <c r="AC173" s="310"/>
      <c r="AD173" s="1124"/>
      <c r="AF173" s="805"/>
      <c r="AG173" s="805"/>
    </row>
    <row r="174" spans="1:33" ht="11.45" customHeight="1">
      <c r="A174" s="2728"/>
      <c r="B174" s="2729"/>
      <c r="C174" s="1659" t="s">
        <v>662</v>
      </c>
      <c r="D174" s="1660" t="s">
        <v>1147</v>
      </c>
      <c r="E174" s="1661">
        <f>IF(E172="","",IF(Q43="",'Parameter tables'!L177,IF(Q43="a",'Parameter tables'!L176,IF(Q43="b",'Parameter tables'!L177,IF(Q43="c",'Parameter tables'!L178,IF(Q43="d",'Parameter tables'!L179,IF(Q43="e",'Parameter tables'!L180,"?")))))))</f>
        <v>1</v>
      </c>
      <c r="F174" s="1637"/>
      <c r="G174" s="1129"/>
      <c r="H174" s="805"/>
      <c r="I174" s="2575"/>
      <c r="J174" s="2576"/>
      <c r="K174" s="1128" t="s">
        <v>709</v>
      </c>
      <c r="L174" s="1621">
        <f>IF(OR(Q38="",Q38="i"),"",((10/L147)^0.5)*(E171+1)*((E147/100)^0.4)*L159^(-0.65*E171^0.25))</f>
        <v>1.216027865343793</v>
      </c>
      <c r="M174" s="1136" t="str">
        <f>IF(Q38="i","(not valid for zone type ' i ' (filled zones))","")</f>
        <v/>
      </c>
      <c r="O174" s="1090"/>
      <c r="Q174" s="66"/>
      <c r="R174" s="628"/>
      <c r="S174" s="1163"/>
      <c r="T174" s="1154"/>
      <c r="U174" s="1298"/>
      <c r="V174" s="1298"/>
      <c r="W174" s="66"/>
      <c r="X174" s="1606"/>
      <c r="Y174" s="1123"/>
      <c r="Z174" s="66"/>
      <c r="AF174" s="805"/>
      <c r="AG174" s="805"/>
    </row>
    <row r="175" spans="1:33" ht="11.45" customHeight="1">
      <c r="A175" s="1662" t="s">
        <v>131</v>
      </c>
      <c r="B175" s="1663"/>
      <c r="C175" s="1663"/>
      <c r="D175" s="1664" t="s">
        <v>1148</v>
      </c>
      <c r="E175" s="1626">
        <f>IF(Q38="","",IF(Q46="",'Parameter tables'!L141,IF(Q46="a",'Parameter tables'!L141,IF(Q46="b",'Parameter tables'!L141,IF(Q46="c",'Parameter tables'!L141,IF(Q46="d",'Parameter tables'!L144,IF(Q46="e",'Parameter tables'!L145,IF(Q46="f",'Parameter tables'!L146,"?"))))))))</f>
        <v>1</v>
      </c>
      <c r="F175" s="1665"/>
      <c r="G175" s="1116"/>
      <c r="H175" s="1029"/>
      <c r="I175" s="1090"/>
      <c r="J175" s="1137"/>
      <c r="K175" s="1137"/>
      <c r="L175" s="1137"/>
      <c r="M175" s="1137"/>
      <c r="O175" s="1137"/>
      <c r="Q175" s="58"/>
      <c r="R175" s="628"/>
      <c r="S175" s="1163"/>
      <c r="T175" s="1154"/>
      <c r="U175" s="59"/>
      <c r="V175" s="59"/>
      <c r="W175" s="66"/>
      <c r="X175" s="1606"/>
      <c r="Y175" s="1607"/>
      <c r="AB175" s="1608"/>
      <c r="AC175" s="227"/>
      <c r="AD175" s="227"/>
      <c r="AF175" s="805"/>
      <c r="AG175" s="805"/>
    </row>
    <row r="176" spans="1:33" ht="11.45" customHeight="1">
      <c r="A176" s="587"/>
      <c r="B176" s="587"/>
      <c r="C176" s="333"/>
      <c r="D176" s="333"/>
      <c r="E176" s="587"/>
      <c r="F176" s="587"/>
      <c r="G176" s="400"/>
      <c r="H176" s="1029"/>
      <c r="I176" s="1137"/>
      <c r="J176" s="1137"/>
      <c r="K176" s="1137"/>
      <c r="L176" s="1137"/>
      <c r="M176" s="1137"/>
      <c r="N176" s="1137"/>
      <c r="O176" s="1137"/>
      <c r="Q176" s="66"/>
      <c r="R176" s="628"/>
      <c r="S176" s="1163"/>
      <c r="T176" s="1154"/>
      <c r="U176" s="1298"/>
      <c r="V176" s="1298"/>
      <c r="W176" s="66"/>
      <c r="X176" s="1606"/>
      <c r="Y176" s="1123"/>
      <c r="Z176" s="66"/>
      <c r="AB176" s="227"/>
      <c r="AC176" s="227"/>
      <c r="AD176" s="227"/>
      <c r="AF176" s="805"/>
      <c r="AG176" s="805"/>
    </row>
    <row r="177" spans="1:33" ht="11.45" customHeight="1">
      <c r="A177" s="2718" t="s">
        <v>170</v>
      </c>
      <c r="B177" s="2719"/>
      <c r="C177" s="2720"/>
      <c r="D177" s="1632" t="s">
        <v>126</v>
      </c>
      <c r="E177" s="1630" t="str">
        <f>IF(OR(E172="-",E172="",E172=0),"-",IF(E172&gt;L147,"yes","no"))</f>
        <v>no</v>
      </c>
      <c r="F177" s="1633" t="s">
        <v>123</v>
      </c>
      <c r="G177" s="1048"/>
      <c r="H177" s="1029"/>
      <c r="I177" s="2598" t="s">
        <v>876</v>
      </c>
      <c r="J177" s="2613"/>
      <c r="K177" s="1138" t="s">
        <v>715</v>
      </c>
      <c r="L177" s="1338">
        <f>IF(L156="","",7*L156^0.4)</f>
        <v>17.084965780739378</v>
      </c>
      <c r="M177" s="911" t="s">
        <v>877</v>
      </c>
      <c r="N177" s="911"/>
      <c r="O177" s="1139"/>
      <c r="S177" s="1611"/>
      <c r="T177" s="1612"/>
      <c r="U177" s="1612"/>
      <c r="V177" s="1612"/>
      <c r="W177" s="1612"/>
      <c r="X177" s="1613"/>
      <c r="AF177" s="805"/>
      <c r="AG177" s="805"/>
    </row>
    <row r="178" spans="1:33" ht="11.45" customHeight="1">
      <c r="A178" s="2721"/>
      <c r="B178" s="2722"/>
      <c r="C178" s="2723"/>
      <c r="D178" s="1661" t="s">
        <v>127</v>
      </c>
      <c r="E178" s="1661" t="str">
        <f>IF(OR(E172="-",E172="",E172=0),"-",IF(E172&gt;L148,"yes","no"))</f>
        <v>no</v>
      </c>
      <c r="F178" s="1637" t="s">
        <v>124</v>
      </c>
      <c r="G178" s="1140"/>
      <c r="H178" s="1029"/>
      <c r="I178" s="2599"/>
      <c r="J178" s="2690"/>
      <c r="K178" s="861" t="s">
        <v>305</v>
      </c>
      <c r="L178" s="1339">
        <f>IF(L156="","",5.6*L156^0.375)</f>
        <v>12.926601055852284</v>
      </c>
      <c r="M178" s="1141" t="s">
        <v>878</v>
      </c>
      <c r="N178" s="1141"/>
      <c r="O178" s="1142"/>
      <c r="P178" s="1609"/>
      <c r="Q178" s="1614" t="s">
        <v>1138</v>
      </c>
      <c r="R178" s="1615" t="s">
        <v>1244</v>
      </c>
      <c r="S178" s="1616"/>
      <c r="T178" s="1616"/>
      <c r="U178" s="1616"/>
      <c r="V178" s="1090"/>
      <c r="W178" s="1090"/>
      <c r="X178" s="82"/>
      <c r="Z178" s="1607"/>
      <c r="AA178" s="1751"/>
      <c r="AF178" s="805"/>
      <c r="AG178" s="805"/>
    </row>
    <row r="179" spans="1:33" ht="11.45" customHeight="1">
      <c r="A179" s="2598" t="s">
        <v>720</v>
      </c>
      <c r="B179" s="2613"/>
      <c r="C179" s="1143" t="s">
        <v>690</v>
      </c>
      <c r="D179" s="1049" t="s">
        <v>839</v>
      </c>
      <c r="E179" s="1340">
        <f>N192</f>
        <v>0.4966966822238868</v>
      </c>
      <c r="F179" s="1144" t="s">
        <v>721</v>
      </c>
      <c r="G179" s="1145"/>
      <c r="H179" s="1119"/>
      <c r="I179" s="2600"/>
      <c r="J179" s="2614"/>
      <c r="K179" s="1146" t="s">
        <v>879</v>
      </c>
      <c r="L179" s="984">
        <f>IF(L156="","",0.2*E147)</f>
        <v>20</v>
      </c>
      <c r="M179" s="1127" t="s">
        <v>880</v>
      </c>
      <c r="N179" s="1127"/>
      <c r="O179" s="1068"/>
      <c r="Q179" s="1617" t="s">
        <v>1139</v>
      </c>
      <c r="S179" s="58"/>
      <c r="T179" s="58"/>
      <c r="U179" s="58"/>
      <c r="V179" s="58"/>
      <c r="W179" s="58"/>
      <c r="X179" s="82"/>
      <c r="Z179" s="1610"/>
      <c r="AF179" s="805"/>
      <c r="AG179" s="805"/>
    </row>
    <row r="180" spans="1:33" ht="11.45" customHeight="1">
      <c r="A180" s="2599"/>
      <c r="B180" s="2690"/>
      <c r="C180" s="1147" t="s">
        <v>814</v>
      </c>
      <c r="D180" s="892" t="s">
        <v>840</v>
      </c>
      <c r="E180" s="1341">
        <f>IF(Q38="","",IF(L156="","",10^((E172*LOG(N192)+LOG(L156))/(E172+1))))</f>
        <v>2.1500111942820852</v>
      </c>
      <c r="F180" s="1148" t="s">
        <v>815</v>
      </c>
      <c r="G180" s="1149"/>
      <c r="H180" s="1119"/>
      <c r="I180" s="66"/>
      <c r="R180" s="214"/>
      <c r="Z180" s="1610"/>
      <c r="AF180" s="805"/>
      <c r="AG180" s="805"/>
    </row>
    <row r="181" spans="1:33" ht="11.45" customHeight="1">
      <c r="A181" s="2600"/>
      <c r="B181" s="2614"/>
      <c r="C181" s="1150"/>
      <c r="D181" s="1151" t="s">
        <v>841</v>
      </c>
      <c r="E181" s="1342">
        <f>IF(Q38="","",IF(E180="",E179,IF(O61&lt;&gt;"",E180,E179)))</f>
        <v>2.1500111942820852</v>
      </c>
      <c r="F181" s="1106" t="str">
        <f>IF(E181="","",IF(E181&gt;T134,U134,IF(E181&gt;T135,U135,IF(E181&gt;T136,U136,IF(E181&gt;T137,U137,IF(E181&gt;T138,U138,U139))))))</f>
        <v>moderate</v>
      </c>
      <c r="G181" s="1140"/>
      <c r="H181" s="1119"/>
      <c r="P181" s="214"/>
      <c r="R181" s="214"/>
      <c r="X181" s="1516" t="s">
        <v>1245</v>
      </c>
      <c r="Y181" s="3760" t="s">
        <v>1247</v>
      </c>
      <c r="Z181" s="1119"/>
      <c r="AF181" s="805"/>
      <c r="AG181" s="805"/>
    </row>
    <row r="182" spans="1:33" ht="11.45" customHeight="1">
      <c r="Q182" s="65"/>
      <c r="R182" s="628"/>
      <c r="T182" s="1516" t="s">
        <v>1246</v>
      </c>
      <c r="U182" s="908" t="s">
        <v>1248</v>
      </c>
      <c r="V182" s="59"/>
      <c r="W182" s="59"/>
      <c r="X182" s="59"/>
      <c r="Y182" s="66"/>
      <c r="Z182" s="1154"/>
      <c r="AF182" s="805"/>
      <c r="AG182" s="805"/>
    </row>
    <row r="183" spans="1:33" ht="11.45" customHeight="1">
      <c r="C183" s="1609"/>
      <c r="D183" s="231"/>
      <c r="E183" s="1620"/>
      <c r="H183" s="1119"/>
      <c r="N183" s="649"/>
      <c r="O183" s="649"/>
      <c r="P183" s="214"/>
      <c r="Q183" s="1090"/>
      <c r="R183" s="628"/>
      <c r="V183" s="59"/>
      <c r="W183" s="59"/>
      <c r="X183" s="59"/>
      <c r="Y183" s="66"/>
      <c r="Z183" s="1154"/>
      <c r="AF183" s="805"/>
      <c r="AG183" s="805"/>
    </row>
    <row r="184" spans="1:33" ht="15.75" customHeight="1">
      <c r="A184" s="829"/>
      <c r="B184" s="1114"/>
      <c r="C184" s="1114"/>
      <c r="D184" s="1114"/>
      <c r="E184" s="1114"/>
      <c r="F184" s="1114"/>
      <c r="G184" s="1114"/>
      <c r="H184" s="1114"/>
      <c r="I184" s="1152"/>
      <c r="J184" s="2703" t="s">
        <v>1040</v>
      </c>
      <c r="K184" s="2703"/>
      <c r="L184" s="2704"/>
      <c r="M184" s="2626" t="s">
        <v>1041</v>
      </c>
      <c r="N184" s="2565" t="s">
        <v>652</v>
      </c>
      <c r="O184" s="2566"/>
      <c r="AA184" s="1119"/>
      <c r="AB184" s="1119"/>
      <c r="AF184" s="805"/>
      <c r="AG184" s="805"/>
    </row>
    <row r="185" spans="1:33" ht="14.25" customHeight="1">
      <c r="A185" s="2692" t="s">
        <v>842</v>
      </c>
      <c r="B185" s="2693"/>
      <c r="C185" s="2694"/>
      <c r="D185" s="2610" t="s">
        <v>843</v>
      </c>
      <c r="E185" s="2611"/>
      <c r="F185" s="2612"/>
      <c r="G185" s="2610" t="s">
        <v>844</v>
      </c>
      <c r="H185" s="2611"/>
      <c r="I185" s="2612"/>
      <c r="J185" s="2685" t="s">
        <v>845</v>
      </c>
      <c r="K185" s="2686"/>
      <c r="L185" s="2687"/>
      <c r="M185" s="2627"/>
      <c r="N185" s="2567"/>
      <c r="O185" s="2568"/>
      <c r="AA185" s="59"/>
      <c r="AB185" s="59"/>
      <c r="AF185" s="805"/>
      <c r="AG185" s="805"/>
    </row>
    <row r="186" spans="1:33" ht="13.9" customHeight="1">
      <c r="A186" s="2569"/>
      <c r="B186" s="2695"/>
      <c r="C186" s="2570"/>
      <c r="D186" s="1155" t="s">
        <v>887</v>
      </c>
      <c r="E186" s="1156" t="s">
        <v>259</v>
      </c>
      <c r="F186" s="1157" t="s">
        <v>651</v>
      </c>
      <c r="G186" s="1158" t="s">
        <v>846</v>
      </c>
      <c r="H186" s="1156" t="s">
        <v>259</v>
      </c>
      <c r="I186" s="1157" t="s">
        <v>651</v>
      </c>
      <c r="J186" s="1159" t="s">
        <v>846</v>
      </c>
      <c r="K186" s="1160" t="s">
        <v>692</v>
      </c>
      <c r="L186" s="1161" t="s">
        <v>651</v>
      </c>
      <c r="M186" s="1162" t="s">
        <v>128</v>
      </c>
      <c r="N186" s="2569" t="s">
        <v>847</v>
      </c>
      <c r="O186" s="2570"/>
      <c r="AA186" s="1164"/>
      <c r="AB186" s="59"/>
      <c r="AF186" s="805"/>
      <c r="AG186" s="805"/>
    </row>
    <row r="187" spans="1:33" ht="13.9" customHeight="1">
      <c r="A187" s="1165" t="s">
        <v>26</v>
      </c>
      <c r="B187" s="2672" t="str">
        <f>'Parameter tables'!O167</f>
        <v>Unknown composition of zone</v>
      </c>
      <c r="C187" s="2673"/>
      <c r="D187" s="1166">
        <f>'Parameter tables'!S167</f>
        <v>50</v>
      </c>
      <c r="E187" s="866" t="str">
        <f>IF(Q$38="","",IF(Q$39="","",Q$39))</f>
        <v/>
      </c>
      <c r="F187" s="1167" t="str">
        <f>IF(Q$38&lt;&gt;"f","",IF(E187&lt;&gt;"",E187,D187))</f>
        <v/>
      </c>
      <c r="G187" s="1168">
        <f>'Parameter tables'!U167</f>
        <v>0.25</v>
      </c>
      <c r="H187" s="1169" t="str">
        <f>IF(Q$38="","",IF(Q44="","",E$171))</f>
        <v/>
      </c>
      <c r="I187" s="1666" t="str">
        <f>IF(Q$38&lt;&gt;"f","",IF(H187&lt;&gt;"",H187,G187))</f>
        <v/>
      </c>
      <c r="J187" s="1170">
        <f>'Parameter tables'!X167</f>
        <v>1E-4</v>
      </c>
      <c r="K187" s="850" t="str">
        <f>IF(Q$41="","",Q$41/1000)</f>
        <v/>
      </c>
      <c r="L187" s="1167" t="str">
        <f>IF(Q$38&lt;&gt;"f","",IF(K187&lt;&gt;"",K187,J187))</f>
        <v/>
      </c>
      <c r="M187" s="1171" t="str">
        <f>IF(Q38&lt;&gt;"f","",L187^0.333)</f>
        <v/>
      </c>
      <c r="N187" s="2636" t="str">
        <f>IF(Q38&lt;&gt;"f","",F187*0.2*(I187^0.5)*(L187^(0.37*I187^(-0.2))))</f>
        <v/>
      </c>
      <c r="O187" s="2637"/>
      <c r="Q187" s="65"/>
      <c r="R187" s="628"/>
      <c r="S187" s="1163"/>
      <c r="T187" s="1153"/>
      <c r="U187" s="59"/>
      <c r="V187" s="59"/>
      <c r="W187" s="59"/>
      <c r="X187" s="59"/>
      <c r="Y187" s="66"/>
      <c r="Z187" s="1154"/>
      <c r="AA187" s="1164"/>
      <c r="AB187" s="59"/>
      <c r="AF187" s="805"/>
      <c r="AG187" s="805"/>
    </row>
    <row r="188" spans="1:33" ht="13.9" customHeight="1">
      <c r="A188" s="1172" t="s">
        <v>28</v>
      </c>
      <c r="B188" s="2672" t="str">
        <f>'Parameter tables'!O168</f>
        <v>Crushed zone, clay-free</v>
      </c>
      <c r="C188" s="2673"/>
      <c r="D188" s="1173">
        <f>'Parameter tables'!S168</f>
        <v>75</v>
      </c>
      <c r="E188" s="866" t="str">
        <f>IF(Q$38="","",IF(Q$39="","",Q$39))</f>
        <v/>
      </c>
      <c r="F188" s="1167">
        <f>IF(Q$38&lt;&gt;"g","",IF(E188&lt;&gt;"",E188,D188))</f>
        <v>75</v>
      </c>
      <c r="G188" s="1168">
        <f>'Parameter tables'!U168</f>
        <v>1</v>
      </c>
      <c r="H188" s="1169" t="str">
        <f>IF(Q$38="","",IF(Q44="","",E$171))</f>
        <v/>
      </c>
      <c r="I188" s="1167">
        <f>IF(Q$38&lt;&gt;"g","",IF(H188&lt;&gt;"",H188,G188))</f>
        <v>1</v>
      </c>
      <c r="J188" s="1168">
        <f>'Parameter tables'!X168</f>
        <v>1E-4</v>
      </c>
      <c r="K188" s="850" t="str">
        <f>IF(Q$41="","",Q$41/1000)</f>
        <v/>
      </c>
      <c r="L188" s="1167">
        <f>IF(Q$38&lt;&gt;"g","",IF(K188&lt;&gt;"",K188,J188))</f>
        <v>1E-4</v>
      </c>
      <c r="M188" s="1174">
        <f>IF(Q38&lt;&gt;"g","",L188^0.333)</f>
        <v>4.6558609352295902E-2</v>
      </c>
      <c r="N188" s="2571">
        <f>IF(Q38&lt;&gt;"g","",F188*0.2*(I188^0.5)*(L188^(0.37*I188^(-0.2))))</f>
        <v>0.4966966822238868</v>
      </c>
      <c r="O188" s="2572"/>
      <c r="Q188" s="65"/>
      <c r="R188" s="628"/>
      <c r="S188" s="1163"/>
      <c r="T188" s="1153"/>
      <c r="U188" s="59"/>
      <c r="V188" s="59"/>
      <c r="W188" s="59"/>
      <c r="X188" s="59"/>
      <c r="Y188" s="66"/>
      <c r="Z188" s="1154"/>
      <c r="AA188" s="59"/>
      <c r="AB188" s="59"/>
      <c r="AC188" s="62"/>
      <c r="AD188" s="62"/>
      <c r="AE188" s="62"/>
      <c r="AF188" s="805"/>
      <c r="AG188" s="805"/>
    </row>
    <row r="189" spans="1:33">
      <c r="A189" s="1172" t="s">
        <v>52</v>
      </c>
      <c r="B189" s="2672" t="str">
        <f>'Parameter tables'!O169</f>
        <v>Crushed zone, with clay seams</v>
      </c>
      <c r="C189" s="2673"/>
      <c r="D189" s="1173">
        <f>'Parameter tables'!S169</f>
        <v>50</v>
      </c>
      <c r="E189" s="866" t="str">
        <f>IF(Q$38="","",IF(Q$39="","",Q$39))</f>
        <v/>
      </c>
      <c r="F189" s="1167" t="str">
        <f>IF(Q$38&lt;&gt;"h","",IF(E189&lt;&gt;"",E189,D189))</f>
        <v/>
      </c>
      <c r="G189" s="1168">
        <f>'Parameter tables'!U169</f>
        <v>0.125</v>
      </c>
      <c r="H189" s="1169" t="str">
        <f>IF(Q$38="","",IF(Q44="","",E$171))</f>
        <v/>
      </c>
      <c r="I189" s="1689" t="str">
        <f>IF(Q$38&lt;&gt;"h","",IF(H189&lt;&gt;"",H189,G189))</f>
        <v/>
      </c>
      <c r="J189" s="1168">
        <f>'Parameter tables'!X169</f>
        <v>1.0000000000000001E-5</v>
      </c>
      <c r="K189" s="850" t="str">
        <f>IF(Q$41="","",Q$41/1000)</f>
        <v/>
      </c>
      <c r="L189" s="1167" t="str">
        <f>IF(Q$38&lt;&gt;"h","",IF(K189&lt;&gt;"",K189,J189))</f>
        <v/>
      </c>
      <c r="M189" s="1174" t="str">
        <f>IF(Q38&lt;&gt;"h","",L189^0.333)</f>
        <v/>
      </c>
      <c r="N189" s="2571" t="str">
        <f>IF(Q38&lt;&gt;"h","",F189*0.2*(I189^0.5)*(L189^(0.37*I189^(-0.2))))</f>
        <v/>
      </c>
      <c r="O189" s="2572"/>
      <c r="R189" s="628"/>
      <c r="S189" s="1163"/>
      <c r="T189" s="1153"/>
      <c r="U189" s="59"/>
      <c r="V189" s="59"/>
      <c r="W189" s="59"/>
      <c r="X189" s="59"/>
      <c r="Y189" s="66"/>
      <c r="Z189" s="1154"/>
      <c r="AA189" s="59"/>
      <c r="AB189" s="59"/>
      <c r="AD189" s="62"/>
      <c r="AE189" s="62"/>
      <c r="AF189" s="805"/>
      <c r="AG189" s="805"/>
    </row>
    <row r="190" spans="1:33" ht="13.9" customHeight="1">
      <c r="A190" s="1175" t="s">
        <v>54</v>
      </c>
      <c r="B190" s="2674" t="str">
        <f>'Parameter tables'!O170</f>
        <v>Zone filled with soft material</v>
      </c>
      <c r="C190" s="2675"/>
      <c r="D190" s="1176">
        <f>'Parameter tables'!S170</f>
        <v>7.5000000000000011E-2</v>
      </c>
      <c r="E190" s="870"/>
      <c r="F190" s="1177" t="str">
        <f>IF(Q$38&lt;&gt;"i","",IF(E190&lt;&gt;"",E190,D190))</f>
        <v/>
      </c>
      <c r="G190" s="1683" t="str">
        <f>IF(Q38="i","(no joints in weakzone soft filling)","")</f>
        <v/>
      </c>
      <c r="H190" s="1169"/>
      <c r="I190" s="1682"/>
      <c r="J190" s="1178">
        <f>'Parameter tables'!X170</f>
        <v>1.0000000000000001E-5</v>
      </c>
      <c r="K190" s="831"/>
      <c r="L190" s="1177" t="str">
        <f>IF(Q$38="i",J190,"")</f>
        <v/>
      </c>
      <c r="M190" s="1179" t="str">
        <f>IF(Q38&lt;&gt;"i","",L190^0.333)</f>
        <v/>
      </c>
      <c r="N190" s="2634" t="str">
        <f>IF(Q38&lt;&gt;"i","",F190*0.5)</f>
        <v/>
      </c>
      <c r="O190" s="2635"/>
      <c r="P190" s="1180"/>
      <c r="Q190" s="65"/>
      <c r="R190" s="628"/>
      <c r="S190" s="1163"/>
      <c r="T190" s="1153"/>
      <c r="U190" s="59"/>
      <c r="V190" s="59"/>
      <c r="W190" s="59"/>
      <c r="X190" s="59"/>
      <c r="Y190" s="66"/>
      <c r="Z190" s="1154"/>
      <c r="AA190" s="59"/>
      <c r="AB190" s="59"/>
      <c r="AD190" s="62"/>
      <c r="AE190" s="62"/>
      <c r="AF190" s="805"/>
      <c r="AG190" s="805"/>
    </row>
    <row r="191" spans="1:33" ht="13.9" customHeight="1">
      <c r="A191" s="2707" t="s">
        <v>888</v>
      </c>
      <c r="B191" s="2707"/>
      <c r="C191" s="2707"/>
      <c r="D191" s="1681" t="s">
        <v>1149</v>
      </c>
      <c r="F191" s="1673"/>
      <c r="G191" s="1548"/>
      <c r="H191" s="1672"/>
      <c r="I191" s="1676"/>
      <c r="J191" s="1677"/>
      <c r="K191" s="1678"/>
      <c r="L191" s="1679">
        <f>IF(SUM(L187:L190)=0,"",SUM(L187:L190))</f>
        <v>1E-4</v>
      </c>
      <c r="M191" s="1680">
        <f>IF(SUM(M187:M190)=0,"",SUM(M187:M190))</f>
        <v>4.6558609352295902E-2</v>
      </c>
      <c r="N191" s="2577"/>
      <c r="O191" s="2578"/>
      <c r="Q191" s="62"/>
      <c r="R191" s="65"/>
      <c r="S191" s="1037"/>
      <c r="T191" s="76"/>
      <c r="U191" s="62"/>
      <c r="V191" s="62"/>
      <c r="W191" s="62"/>
      <c r="X191" s="62"/>
      <c r="Y191" s="62"/>
      <c r="Z191" s="62"/>
      <c r="AA191" s="62"/>
      <c r="AB191" s="62"/>
      <c r="AD191" s="62"/>
      <c r="AE191" s="62"/>
      <c r="AF191" s="805"/>
      <c r="AG191" s="805"/>
    </row>
    <row r="192" spans="1:33" ht="13.9" customHeight="1">
      <c r="B192" s="1670" t="s">
        <v>1150</v>
      </c>
      <c r="G192" s="1031"/>
      <c r="H192" s="919" t="s">
        <v>882</v>
      </c>
      <c r="I192" s="1671">
        <f>SUM(I187:I189)</f>
        <v>1</v>
      </c>
      <c r="J192" s="363"/>
      <c r="K192" s="1669"/>
      <c r="L192" s="1674">
        <f>IF(SUM(L187:L190)=0,"",IF(L191&lt;0.0001,0.0001,SUM(L187:L190)))</f>
        <v>1E-4</v>
      </c>
      <c r="M192" s="1675">
        <f>IF(SUM(M187:M190)=0,"",IF(M191&lt;0.01,0.01,SUM(M187:M190)))</f>
        <v>4.6558609352295902E-2</v>
      </c>
      <c r="N192" s="2632">
        <f>IF(SUM(N187:N190)=0,"",SUM(N187:N190))</f>
        <v>0.4966966822238868</v>
      </c>
      <c r="O192" s="2633"/>
      <c r="AD192" s="62"/>
      <c r="AE192" s="62"/>
      <c r="AF192" s="805"/>
      <c r="AG192" s="805"/>
    </row>
    <row r="193" spans="1:36" ht="13.9" customHeight="1">
      <c r="A193" s="1181"/>
      <c r="B193" s="2677"/>
      <c r="C193" s="2677"/>
      <c r="D193" s="628"/>
      <c r="E193" s="628"/>
      <c r="F193" s="628"/>
      <c r="G193" s="120"/>
      <c r="H193" s="1363" t="s">
        <v>1068</v>
      </c>
      <c r="I193" s="1182"/>
      <c r="M193" s="1183" t="s">
        <v>940</v>
      </c>
      <c r="Q193" s="95"/>
      <c r="R193" s="62"/>
      <c r="S193" s="1"/>
      <c r="T193" s="1"/>
      <c r="U193" s="1"/>
      <c r="V193" s="1"/>
      <c r="W193" s="1"/>
      <c r="AD193" s="62"/>
      <c r="AE193" s="62"/>
      <c r="AF193" s="805"/>
      <c r="AG193" s="805"/>
    </row>
    <row r="194" spans="1:36" ht="13.9" customHeight="1">
      <c r="C194" s="214"/>
      <c r="D194" s="214"/>
      <c r="G194" s="120"/>
      <c r="H194" s="1362" t="s">
        <v>1069</v>
      </c>
      <c r="J194" s="521"/>
      <c r="K194" s="1184"/>
      <c r="L194" s="1184"/>
      <c r="M194" s="1184"/>
      <c r="N194" s="1119"/>
      <c r="Q194" s="63"/>
      <c r="S194" s="63"/>
      <c r="T194" s="63"/>
      <c r="U194" s="63"/>
      <c r="V194" s="63"/>
      <c r="W194" s="63"/>
      <c r="Z194" s="65"/>
      <c r="AD194" s="62"/>
      <c r="AE194" s="62"/>
      <c r="AF194" s="1185"/>
      <c r="AG194" s="805"/>
    </row>
    <row r="195" spans="1:36" ht="13.9" customHeight="1">
      <c r="C195" s="214"/>
      <c r="D195" s="214"/>
      <c r="G195" s="120"/>
      <c r="H195" s="16"/>
      <c r="I195" s="16"/>
      <c r="J195" s="16"/>
      <c r="K195" s="1186"/>
      <c r="L195" s="1187"/>
      <c r="M195" s="3"/>
      <c r="N195" s="3"/>
      <c r="O195" s="3"/>
      <c r="P195" s="214"/>
      <c r="Q195" s="63"/>
      <c r="S195" s="63"/>
      <c r="T195" s="63"/>
      <c r="U195" s="63"/>
      <c r="V195" s="63"/>
      <c r="W195" s="63"/>
      <c r="Z195" s="1188"/>
      <c r="AD195" s="62"/>
      <c r="AE195" s="62"/>
      <c r="AF195" s="805"/>
      <c r="AG195" s="805"/>
    </row>
    <row r="196" spans="1:36" ht="15" customHeight="1">
      <c r="C196" s="214"/>
      <c r="D196" s="214"/>
      <c r="H196" s="16"/>
      <c r="I196" s="16"/>
      <c r="J196" s="16"/>
      <c r="K196" s="1186"/>
      <c r="L196" s="1189"/>
      <c r="M196" s="1190"/>
      <c r="N196" s="1190"/>
      <c r="O196" s="1190"/>
      <c r="P196" s="214"/>
      <c r="Q196" s="63"/>
      <c r="S196" s="63"/>
      <c r="T196" s="63"/>
      <c r="U196" s="63"/>
      <c r="V196" s="63"/>
      <c r="W196" s="63"/>
      <c r="Z196" s="1188"/>
      <c r="AD196" s="62"/>
      <c r="AE196" s="62"/>
      <c r="AF196" s="64"/>
      <c r="AG196" s="805"/>
    </row>
    <row r="197" spans="1:36" ht="14.25" customHeight="1">
      <c r="A197" s="2702"/>
      <c r="B197" s="2702"/>
      <c r="C197" s="65"/>
      <c r="D197" s="65"/>
      <c r="E197" s="77"/>
      <c r="F197" s="58"/>
      <c r="G197" s="1"/>
      <c r="H197" s="16"/>
      <c r="I197" s="16"/>
      <c r="J197" s="16"/>
      <c r="K197" s="1186"/>
      <c r="L197" s="1187"/>
      <c r="M197" s="3"/>
      <c r="N197" s="3"/>
      <c r="O197" s="3"/>
      <c r="P197" s="214"/>
      <c r="Q197" s="63"/>
      <c r="S197" s="63"/>
      <c r="T197" s="63"/>
      <c r="U197" s="63"/>
      <c r="V197" s="63"/>
      <c r="W197" s="63"/>
      <c r="Z197" s="1188"/>
      <c r="AA197" s="62"/>
      <c r="AB197" s="62"/>
      <c r="AC197" s="62"/>
      <c r="AD197" s="62"/>
      <c r="AE197" s="62"/>
      <c r="AF197" s="1191"/>
      <c r="AG197" s="805"/>
    </row>
    <row r="198" spans="1:36">
      <c r="A198" s="2702"/>
      <c r="B198" s="2702"/>
      <c r="C198" s="65"/>
      <c r="D198" s="65"/>
      <c r="E198" s="77"/>
      <c r="F198" s="58"/>
      <c r="G198" s="1"/>
      <c r="H198" s="16"/>
      <c r="I198" s="16"/>
      <c r="J198" s="16"/>
      <c r="K198" s="1186"/>
      <c r="L198" s="1189"/>
      <c r="M198" s="1190"/>
      <c r="N198" s="1190"/>
      <c r="O198" s="1190"/>
      <c r="P198" s="214"/>
      <c r="Q198" s="63"/>
      <c r="S198" s="63"/>
      <c r="T198" s="63"/>
      <c r="U198" s="1192"/>
      <c r="V198" s="1192"/>
      <c r="W198" s="1192"/>
      <c r="Z198" s="818"/>
      <c r="AA198" s="1119"/>
      <c r="AB198" s="1119"/>
      <c r="AC198" s="1119"/>
      <c r="AD198" s="1119"/>
      <c r="AE198" s="1185"/>
      <c r="AF198" s="1193"/>
      <c r="AG198" s="805"/>
    </row>
    <row r="199" spans="1:36">
      <c r="A199" s="2676"/>
      <c r="B199" s="2676"/>
      <c r="C199" s="65"/>
      <c r="D199" s="1194"/>
      <c r="E199" s="75"/>
      <c r="F199" s="58"/>
      <c r="G199" s="1"/>
      <c r="N199" s="214"/>
      <c r="O199" s="214"/>
      <c r="Q199" s="63"/>
      <c r="S199" s="65"/>
      <c r="T199" s="63"/>
      <c r="U199" s="63"/>
      <c r="V199" s="63"/>
      <c r="W199" s="63"/>
      <c r="Z199" s="1"/>
      <c r="AA199" s="1195"/>
      <c r="AB199" s="1195"/>
      <c r="AC199" s="1195"/>
      <c r="AD199" s="1195"/>
      <c r="AE199" s="1195"/>
      <c r="AF199" s="676"/>
      <c r="AG199" s="805"/>
    </row>
    <row r="200" spans="1:36" ht="14.25" customHeight="1">
      <c r="A200" s="2676"/>
      <c r="B200" s="2676"/>
      <c r="C200" s="65"/>
      <c r="D200" s="1196"/>
      <c r="E200" s="75"/>
      <c r="F200" s="58"/>
      <c r="G200" s="676"/>
      <c r="N200" s="214"/>
      <c r="O200" s="214"/>
      <c r="Q200" s="63"/>
      <c r="S200" s="63"/>
      <c r="T200" s="1"/>
      <c r="U200" s="1"/>
      <c r="V200" s="1"/>
      <c r="W200" s="1"/>
      <c r="Z200" s="1"/>
      <c r="AA200" s="1195"/>
      <c r="AB200" s="1195"/>
      <c r="AC200" s="1195"/>
      <c r="AD200" s="1195"/>
      <c r="AE200" s="1195"/>
      <c r="AF200" s="676"/>
      <c r="AG200" s="805"/>
    </row>
    <row r="201" spans="1:36" ht="15" customHeight="1">
      <c r="C201" s="214"/>
      <c r="D201" s="214"/>
      <c r="G201" s="1"/>
      <c r="N201" s="214"/>
      <c r="O201" s="214"/>
      <c r="Q201" s="63"/>
      <c r="S201" s="63"/>
      <c r="T201" s="1"/>
      <c r="U201" s="1"/>
      <c r="V201" s="1"/>
      <c r="W201" s="1"/>
      <c r="Z201" s="1"/>
      <c r="AA201" s="1197"/>
      <c r="AB201" s="1197"/>
      <c r="AC201" s="1197"/>
      <c r="AD201" s="1197"/>
      <c r="AE201" s="1197"/>
      <c r="AF201" s="1197"/>
      <c r="AG201" s="1197"/>
      <c r="AH201" s="1197"/>
      <c r="AI201" s="1197"/>
      <c r="AJ201" s="1197"/>
    </row>
    <row r="202" spans="1:36" ht="14.25" customHeight="1">
      <c r="C202" s="214"/>
      <c r="D202" s="214"/>
      <c r="G202" s="1"/>
      <c r="N202" s="214"/>
      <c r="O202" s="214"/>
      <c r="Q202" s="63"/>
      <c r="S202" s="65"/>
      <c r="T202" s="1"/>
      <c r="U202" s="1"/>
      <c r="V202" s="1"/>
      <c r="W202" s="1"/>
      <c r="Z202" s="1"/>
      <c r="AA202" s="1191"/>
      <c r="AB202" s="1191"/>
      <c r="AC202" s="1191"/>
      <c r="AD202" s="1191"/>
      <c r="AE202" s="1191"/>
      <c r="AF202" s="1191"/>
      <c r="AG202" s="1191"/>
      <c r="AH202" s="1191"/>
      <c r="AI202" s="1191"/>
      <c r="AJ202" s="1191"/>
    </row>
    <row r="203" spans="1:36" ht="15" customHeight="1">
      <c r="G203" s="1"/>
      <c r="N203" s="214"/>
      <c r="O203" s="214"/>
      <c r="Q203" s="63"/>
      <c r="S203" s="1196"/>
      <c r="T203" s="121"/>
      <c r="U203" s="76"/>
      <c r="V203" s="76"/>
      <c r="W203" s="76"/>
      <c r="X203" s="76"/>
      <c r="Z203" s="1193"/>
      <c r="AA203" s="1193"/>
      <c r="AB203" s="1193"/>
      <c r="AC203" s="1193"/>
      <c r="AD203" s="1193"/>
      <c r="AE203" s="1193"/>
      <c r="AF203" s="1193"/>
      <c r="AG203" s="1193"/>
      <c r="AH203" s="1193"/>
      <c r="AI203" s="1193"/>
      <c r="AJ203" s="1193"/>
    </row>
    <row r="204" spans="1:36" ht="14.25" customHeight="1">
      <c r="G204" s="1"/>
      <c r="H204" s="1"/>
      <c r="X204" s="1198"/>
      <c r="Y204" s="1198"/>
      <c r="Z204" s="1198"/>
      <c r="AA204" s="1198"/>
      <c r="AB204" s="1198"/>
      <c r="AC204" s="1198"/>
      <c r="AD204" s="1198"/>
      <c r="AE204" s="1198"/>
      <c r="AF204" s="2618"/>
      <c r="AG204" s="2618"/>
      <c r="AH204" s="2618"/>
      <c r="AI204" s="2618"/>
      <c r="AJ204" s="676"/>
    </row>
    <row r="205" spans="1:36" ht="15.75" customHeight="1">
      <c r="N205" s="214"/>
      <c r="O205" s="214"/>
      <c r="P205" s="214"/>
      <c r="Q205" s="214"/>
      <c r="R205" s="214"/>
      <c r="X205" s="1198"/>
      <c r="Y205" s="1198"/>
      <c r="Z205" s="1198"/>
      <c r="AA205" s="1198"/>
      <c r="AB205" s="1198"/>
      <c r="AC205" s="1198"/>
      <c r="AD205" s="1198"/>
      <c r="AE205" s="1198"/>
      <c r="AF205" s="2618"/>
      <c r="AG205" s="2618"/>
      <c r="AH205" s="2618"/>
      <c r="AI205" s="2618"/>
      <c r="AJ205" s="676"/>
    </row>
    <row r="206" spans="1:36" ht="14.25" customHeight="1">
      <c r="A206" s="2671"/>
      <c r="B206" s="2671"/>
      <c r="C206" s="2671"/>
      <c r="D206" s="2671"/>
      <c r="F206" s="63"/>
      <c r="N206" s="214"/>
      <c r="O206" s="214"/>
      <c r="P206" s="214"/>
      <c r="Q206" s="214"/>
      <c r="R206" s="214"/>
      <c r="X206" s="676"/>
      <c r="Y206" s="676"/>
      <c r="Z206" s="676"/>
      <c r="AA206" s="676"/>
      <c r="AB206" s="676"/>
      <c r="AC206" s="676"/>
      <c r="AD206" s="676"/>
      <c r="AE206" s="676"/>
      <c r="AF206" s="2618"/>
      <c r="AG206" s="2618"/>
      <c r="AH206" s="2618"/>
      <c r="AI206" s="2618"/>
      <c r="AJ206" s="676"/>
    </row>
    <row r="207" spans="1:36">
      <c r="A207" s="2671"/>
      <c r="B207" s="2671"/>
      <c r="C207" s="2671"/>
      <c r="D207" s="2671"/>
      <c r="F207" s="63"/>
      <c r="G207" s="63"/>
      <c r="P207" s="214"/>
      <c r="Q207" s="1"/>
      <c r="R207" s="1196"/>
      <c r="S207" s="1196"/>
      <c r="T207" s="1196"/>
      <c r="U207" s="676"/>
      <c r="V207" s="676"/>
      <c r="W207" s="676"/>
      <c r="X207" s="676"/>
      <c r="Y207" s="676"/>
      <c r="Z207" s="676"/>
      <c r="AA207" s="676"/>
      <c r="AB207" s="676"/>
      <c r="AC207" s="676"/>
      <c r="AD207" s="676"/>
      <c r="AE207" s="676"/>
      <c r="AF207" s="2618"/>
      <c r="AG207" s="2618"/>
      <c r="AH207" s="2618"/>
      <c r="AI207" s="2618"/>
      <c r="AJ207" s="676"/>
    </row>
    <row r="208" spans="1:36" ht="14.25" customHeight="1">
      <c r="M208" s="1"/>
      <c r="N208" s="1"/>
      <c r="O208" s="1"/>
      <c r="P208" s="1"/>
      <c r="Q208" s="1"/>
      <c r="R208" s="214"/>
      <c r="S208" s="1196"/>
      <c r="T208" s="1196"/>
      <c r="U208" s="676"/>
      <c r="V208" s="676"/>
      <c r="W208" s="676"/>
      <c r="X208" s="676"/>
      <c r="Y208" s="676"/>
      <c r="Z208" s="676"/>
      <c r="AA208" s="676"/>
      <c r="AB208" s="676"/>
      <c r="AC208" s="676"/>
      <c r="AD208" s="676"/>
      <c r="AE208" s="676"/>
      <c r="AF208" s="2618"/>
      <c r="AG208" s="2618"/>
      <c r="AH208" s="2618"/>
      <c r="AI208" s="2618"/>
      <c r="AJ208" s="676"/>
    </row>
    <row r="209" spans="1:36">
      <c r="L209" s="1"/>
      <c r="M209" s="1"/>
      <c r="P209" s="63"/>
      <c r="Q209" s="1"/>
      <c r="R209" s="214"/>
      <c r="S209" s="1196"/>
      <c r="T209" s="1196"/>
      <c r="U209" s="676"/>
      <c r="V209" s="676"/>
      <c r="W209" s="676"/>
      <c r="X209" s="676"/>
      <c r="Y209" s="676"/>
      <c r="Z209" s="676"/>
      <c r="AA209" s="676"/>
      <c r="AB209" s="676"/>
      <c r="AC209" s="676"/>
      <c r="AD209" s="676"/>
      <c r="AE209" s="676"/>
      <c r="AF209" s="2618"/>
      <c r="AG209" s="2618"/>
      <c r="AH209" s="2618"/>
      <c r="AI209" s="2618"/>
      <c r="AJ209" s="676"/>
    </row>
    <row r="210" spans="1:36">
      <c r="A210" s="1"/>
      <c r="P210" s="214"/>
      <c r="Q210" s="1199"/>
      <c r="R210" s="1196"/>
      <c r="S210" s="1196"/>
      <c r="T210" s="1196"/>
      <c r="U210" s="676"/>
      <c r="V210" s="676"/>
      <c r="W210" s="676"/>
      <c r="X210" s="676"/>
      <c r="Y210" s="676"/>
      <c r="Z210" s="676"/>
      <c r="AA210" s="676"/>
      <c r="AB210" s="676"/>
      <c r="AC210" s="676"/>
      <c r="AD210" s="676"/>
      <c r="AE210" s="676"/>
      <c r="AF210" s="2618"/>
      <c r="AG210" s="2618"/>
      <c r="AH210" s="2618"/>
      <c r="AI210" s="2618"/>
      <c r="AJ210" s="676"/>
    </row>
    <row r="211" spans="1:36" ht="14.25" customHeight="1">
      <c r="H211" s="1200"/>
      <c r="I211" s="1"/>
      <c r="J211" s="1"/>
      <c r="K211" s="1"/>
      <c r="L211" s="1"/>
      <c r="M211" s="1"/>
      <c r="N211" s="1"/>
      <c r="O211" s="1"/>
      <c r="P211" s="1"/>
      <c r="Q211" s="1199"/>
      <c r="R211" s="1196"/>
      <c r="S211" s="1196"/>
      <c r="T211" s="1196"/>
      <c r="U211" s="1198"/>
      <c r="V211" s="1198"/>
      <c r="W211" s="1198"/>
      <c r="X211" s="1198"/>
      <c r="Y211" s="1198"/>
      <c r="Z211" s="1198"/>
      <c r="AA211" s="1198"/>
      <c r="AB211" s="1198"/>
      <c r="AC211" s="1198"/>
      <c r="AD211" s="1198"/>
      <c r="AE211" s="1198"/>
      <c r="AF211" s="2628"/>
      <c r="AG211" s="2628"/>
      <c r="AH211" s="2628"/>
      <c r="AI211" s="2628"/>
      <c r="AJ211" s="1198"/>
    </row>
    <row r="212" spans="1:36">
      <c r="C212" s="214"/>
      <c r="D212" s="214"/>
      <c r="G212" s="227"/>
      <c r="I212" s="1"/>
      <c r="J212" s="1"/>
      <c r="K212" s="1"/>
      <c r="L212" s="1"/>
      <c r="M212" s="1"/>
      <c r="N212" s="1"/>
      <c r="O212" s="1"/>
      <c r="P212" s="1"/>
      <c r="Q212" s="1199"/>
      <c r="R212" s="1196"/>
      <c r="S212" s="1196"/>
      <c r="T212" s="1196"/>
      <c r="U212" s="1198"/>
      <c r="V212" s="1198"/>
      <c r="W212" s="1198"/>
      <c r="X212" s="1198"/>
      <c r="Y212" s="1198"/>
      <c r="Z212" s="1198"/>
      <c r="AA212" s="1198"/>
      <c r="AB212" s="676"/>
      <c r="AC212" s="676"/>
      <c r="AD212" s="676"/>
      <c r="AE212" s="676"/>
      <c r="AF212" s="2618"/>
      <c r="AG212" s="2618"/>
      <c r="AH212" s="2618"/>
      <c r="AI212" s="2618"/>
      <c r="AJ212" s="676"/>
    </row>
    <row r="213" spans="1:36">
      <c r="C213" s="231"/>
      <c r="D213" s="214"/>
      <c r="G213" s="227"/>
      <c r="J213" s="1"/>
      <c r="K213" s="1"/>
      <c r="L213" s="1"/>
      <c r="M213" s="1"/>
      <c r="N213" s="1"/>
      <c r="O213" s="1"/>
      <c r="P213" s="1"/>
      <c r="Q213" s="1"/>
      <c r="R213" s="898"/>
      <c r="S213" s="1201"/>
      <c r="T213" s="1202"/>
      <c r="U213" s="617"/>
      <c r="V213" s="617"/>
      <c r="W213" s="617"/>
      <c r="X213" s="617"/>
      <c r="Y213" s="617"/>
      <c r="Z213" s="818"/>
      <c r="AA213" s="62"/>
      <c r="AB213" s="617"/>
      <c r="AC213" s="62"/>
      <c r="AD213" s="62"/>
      <c r="AE213" s="62"/>
    </row>
    <row r="214" spans="1:36">
      <c r="I214" s="1"/>
      <c r="J214" s="1"/>
      <c r="K214" s="1"/>
      <c r="L214" s="1"/>
      <c r="M214" s="1"/>
      <c r="N214" s="1"/>
      <c r="O214" s="1"/>
      <c r="P214" s="1"/>
      <c r="Q214" s="1"/>
      <c r="R214" s="62"/>
      <c r="S214" s="1201"/>
      <c r="T214" s="617"/>
      <c r="U214" s="4"/>
      <c r="V214" s="4"/>
      <c r="W214" s="4"/>
      <c r="X214" s="4"/>
      <c r="Y214" s="4"/>
      <c r="Z214" s="4"/>
      <c r="AA214" s="4"/>
      <c r="AB214" s="4"/>
      <c r="AC214" s="4"/>
      <c r="AD214" s="1197"/>
      <c r="AE214" s="62"/>
    </row>
  </sheetData>
  <sheetProtection formatCells="0" formatColumns="0" formatRows="0"/>
  <mergeCells count="378">
    <mergeCell ref="AD39:AE39"/>
    <mergeCell ref="P26:P29"/>
    <mergeCell ref="P34:P35"/>
    <mergeCell ref="Q32:Q33"/>
    <mergeCell ref="P32:P33"/>
    <mergeCell ref="P36:P37"/>
    <mergeCell ref="C24:D25"/>
    <mergeCell ref="Y1:AH1"/>
    <mergeCell ref="AG18:AH18"/>
    <mergeCell ref="AC35:AE36"/>
    <mergeCell ref="AA18:AC18"/>
    <mergeCell ref="Z19:Z20"/>
    <mergeCell ref="X19:Y20"/>
    <mergeCell ref="X25:Y25"/>
    <mergeCell ref="R26:R29"/>
    <mergeCell ref="S26:S29"/>
    <mergeCell ref="R30:R31"/>
    <mergeCell ref="S30:S31"/>
    <mergeCell ref="X30:AB31"/>
    <mergeCell ref="R4:T4"/>
    <mergeCell ref="S3:T3"/>
    <mergeCell ref="B14:C14"/>
    <mergeCell ref="B15:C15"/>
    <mergeCell ref="B30:B33"/>
    <mergeCell ref="T85:T86"/>
    <mergeCell ref="T77:T78"/>
    <mergeCell ref="P91:T91"/>
    <mergeCell ref="A52:B52"/>
    <mergeCell ref="B26:B29"/>
    <mergeCell ref="B36:D37"/>
    <mergeCell ref="A9:A37"/>
    <mergeCell ref="B22:B25"/>
    <mergeCell ref="A38:A47"/>
    <mergeCell ref="L78:N78"/>
    <mergeCell ref="T79:T81"/>
    <mergeCell ref="F77:H77"/>
    <mergeCell ref="F82:H82"/>
    <mergeCell ref="F85:H85"/>
    <mergeCell ref="F78:H78"/>
    <mergeCell ref="C75:E75"/>
    <mergeCell ref="F75:H75"/>
    <mergeCell ref="F83:H83"/>
    <mergeCell ref="A82:B84"/>
    <mergeCell ref="A79:B81"/>
    <mergeCell ref="C84:E84"/>
    <mergeCell ref="A85:B89"/>
    <mergeCell ref="C85:E85"/>
    <mergeCell ref="C87:E87"/>
    <mergeCell ref="C74:E74"/>
    <mergeCell ref="G46:H47"/>
    <mergeCell ref="L67:N67"/>
    <mergeCell ref="F66:H66"/>
    <mergeCell ref="B46:C47"/>
    <mergeCell ref="I71:K71"/>
    <mergeCell ref="A66:B70"/>
    <mergeCell ref="C65:E65"/>
    <mergeCell ref="C66:E66"/>
    <mergeCell ref="C69:E69"/>
    <mergeCell ref="A71:B74"/>
    <mergeCell ref="C72:E72"/>
    <mergeCell ref="F72:H72"/>
    <mergeCell ref="A50:B51"/>
    <mergeCell ref="A53:B55"/>
    <mergeCell ref="F62:H62"/>
    <mergeCell ref="C49:K49"/>
    <mergeCell ref="M60:N60"/>
    <mergeCell ref="O63:O66"/>
    <mergeCell ref="N42:O42"/>
    <mergeCell ref="I42:I43"/>
    <mergeCell ref="M23:N24"/>
    <mergeCell ref="S2:T2"/>
    <mergeCell ref="B4:D4"/>
    <mergeCell ref="X100:AD102"/>
    <mergeCell ref="L96:N97"/>
    <mergeCell ref="I55:M55"/>
    <mergeCell ref="M34:O35"/>
    <mergeCell ref="F93:H94"/>
    <mergeCell ref="C26:D27"/>
    <mergeCell ref="T16:T17"/>
    <mergeCell ref="C79:E79"/>
    <mergeCell ref="C80:E80"/>
    <mergeCell ref="L84:N84"/>
    <mergeCell ref="X18:Y18"/>
    <mergeCell ref="E34:E35"/>
    <mergeCell ref="Q22:Q23"/>
    <mergeCell ref="P30:P31"/>
    <mergeCell ref="X35:AB36"/>
    <mergeCell ref="Q36:Q37"/>
    <mergeCell ref="Z23:Z24"/>
    <mergeCell ref="T24:T25"/>
    <mergeCell ref="C86:E86"/>
    <mergeCell ref="I88:K88"/>
    <mergeCell ref="I86:K86"/>
    <mergeCell ref="A91:B94"/>
    <mergeCell ref="V3:X3"/>
    <mergeCell ref="I66:K66"/>
    <mergeCell ref="L64:N65"/>
    <mergeCell ref="T36:T37"/>
    <mergeCell ref="R32:R33"/>
    <mergeCell ref="R34:R35"/>
    <mergeCell ref="S34:S35"/>
    <mergeCell ref="R44:R45"/>
    <mergeCell ref="S44:S45"/>
    <mergeCell ref="S32:S33"/>
    <mergeCell ref="P44:P45"/>
    <mergeCell ref="N46:O46"/>
    <mergeCell ref="N44:O44"/>
    <mergeCell ref="P63:T64"/>
    <mergeCell ref="R38:S38"/>
    <mergeCell ref="T34:T35"/>
    <mergeCell ref="N49:Q49"/>
    <mergeCell ref="N45:O45"/>
    <mergeCell ref="Q44:Q45"/>
    <mergeCell ref="N37:O37"/>
    <mergeCell ref="F80:H80"/>
    <mergeCell ref="L77:N77"/>
    <mergeCell ref="F111:G111"/>
    <mergeCell ref="L91:N92"/>
    <mergeCell ref="L86:N86"/>
    <mergeCell ref="L79:N79"/>
    <mergeCell ref="L80:N80"/>
    <mergeCell ref="L83:N83"/>
    <mergeCell ref="I83:K83"/>
    <mergeCell ref="L85:N85"/>
    <mergeCell ref="F86:H86"/>
    <mergeCell ref="I93:K94"/>
    <mergeCell ref="I85:K85"/>
    <mergeCell ref="A113:B114"/>
    <mergeCell ref="J114:K114"/>
    <mergeCell ref="F84:H84"/>
    <mergeCell ref="C82:E82"/>
    <mergeCell ref="I72:K72"/>
    <mergeCell ref="A111:C112"/>
    <mergeCell ref="D111:D112"/>
    <mergeCell ref="I110:N110"/>
    <mergeCell ref="L93:N94"/>
    <mergeCell ref="L88:N88"/>
    <mergeCell ref="I84:K84"/>
    <mergeCell ref="L75:N75"/>
    <mergeCell ref="L72:N72"/>
    <mergeCell ref="F73:H73"/>
    <mergeCell ref="I82:K82"/>
    <mergeCell ref="A109:T109"/>
    <mergeCell ref="B110:G110"/>
    <mergeCell ref="Q112:R112"/>
    <mergeCell ref="M111:N112"/>
    <mergeCell ref="I111:K112"/>
    <mergeCell ref="Q111:U111"/>
    <mergeCell ref="L111:L112"/>
    <mergeCell ref="E111:E112"/>
    <mergeCell ref="A75:B77"/>
    <mergeCell ref="D185:F185"/>
    <mergeCell ref="I177:J179"/>
    <mergeCell ref="A162:C162"/>
    <mergeCell ref="A197:B198"/>
    <mergeCell ref="B187:C187"/>
    <mergeCell ref="J184:L184"/>
    <mergeCell ref="K164:L164"/>
    <mergeCell ref="A191:C191"/>
    <mergeCell ref="C95:E95"/>
    <mergeCell ref="D136:E136"/>
    <mergeCell ref="A146:D146"/>
    <mergeCell ref="A126:B127"/>
    <mergeCell ref="A134:B136"/>
    <mergeCell ref="A177:C178"/>
    <mergeCell ref="A115:B117"/>
    <mergeCell ref="A118:B120"/>
    <mergeCell ref="A173:B174"/>
    <mergeCell ref="A156:C156"/>
    <mergeCell ref="C121:C123"/>
    <mergeCell ref="I121:I122"/>
    <mergeCell ref="A121:B124"/>
    <mergeCell ref="I113:J113"/>
    <mergeCell ref="A179:B181"/>
    <mergeCell ref="C115:C116"/>
    <mergeCell ref="A163:C163"/>
    <mergeCell ref="A155:C155"/>
    <mergeCell ref="L71:N71"/>
    <mergeCell ref="A206:D207"/>
    <mergeCell ref="B189:C189"/>
    <mergeCell ref="B190:C190"/>
    <mergeCell ref="A199:B200"/>
    <mergeCell ref="B193:C193"/>
    <mergeCell ref="A160:C160"/>
    <mergeCell ref="B188:C188"/>
    <mergeCell ref="F146:G146"/>
    <mergeCell ref="I133:J134"/>
    <mergeCell ref="J185:L185"/>
    <mergeCell ref="A148:C150"/>
    <mergeCell ref="A151:C154"/>
    <mergeCell ref="I151:J151"/>
    <mergeCell ref="I156:J156"/>
    <mergeCell ref="A185:C186"/>
    <mergeCell ref="A157:C157"/>
    <mergeCell ref="A161:C161"/>
    <mergeCell ref="I152:J153"/>
    <mergeCell ref="I148:J148"/>
    <mergeCell ref="I163:I166"/>
    <mergeCell ref="A140:C140"/>
    <mergeCell ref="A158:C159"/>
    <mergeCell ref="A147:C147"/>
    <mergeCell ref="A125:B125"/>
    <mergeCell ref="A137:B139"/>
    <mergeCell ref="A128:B133"/>
    <mergeCell ref="D135:E135"/>
    <mergeCell ref="D129:E129"/>
    <mergeCell ref="D133:E133"/>
    <mergeCell ref="D134:E134"/>
    <mergeCell ref="D131:E131"/>
    <mergeCell ref="AH212:AI212"/>
    <mergeCell ref="AF209:AI209"/>
    <mergeCell ref="I124:K124"/>
    <mergeCell ref="I127:K127"/>
    <mergeCell ref="Q141:Y141"/>
    <mergeCell ref="M184:M185"/>
    <mergeCell ref="AH205:AI205"/>
    <mergeCell ref="AF210:AG210"/>
    <mergeCell ref="AH210:AI210"/>
    <mergeCell ref="AF211:AI211"/>
    <mergeCell ref="AF208:AI208"/>
    <mergeCell ref="AF204:AI204"/>
    <mergeCell ref="AF205:AG205"/>
    <mergeCell ref="AF206:AI206"/>
    <mergeCell ref="AF207:AG207"/>
    <mergeCell ref="AH207:AI207"/>
    <mergeCell ref="G144:I144"/>
    <mergeCell ref="AF212:AG212"/>
    <mergeCell ref="N192:O192"/>
    <mergeCell ref="N190:O190"/>
    <mergeCell ref="N187:O187"/>
    <mergeCell ref="K160:L160"/>
    <mergeCell ref="K162:L162"/>
    <mergeCell ref="I147:J147"/>
    <mergeCell ref="N184:O185"/>
    <mergeCell ref="N186:O186"/>
    <mergeCell ref="N188:O188"/>
    <mergeCell ref="I173:J174"/>
    <mergeCell ref="N191:O191"/>
    <mergeCell ref="M116:N116"/>
    <mergeCell ref="I115:I117"/>
    <mergeCell ref="N189:O189"/>
    <mergeCell ref="I167:J172"/>
    <mergeCell ref="K171:O172"/>
    <mergeCell ref="K166:L166"/>
    <mergeCell ref="I159:I162"/>
    <mergeCell ref="I155:J155"/>
    <mergeCell ref="I146:K146"/>
    <mergeCell ref="K143:L143"/>
    <mergeCell ref="I123:K123"/>
    <mergeCell ref="G185:I185"/>
    <mergeCell ref="I154:J154"/>
    <mergeCell ref="I149:J150"/>
    <mergeCell ref="I128:I132"/>
    <mergeCell ref="T82:T84"/>
    <mergeCell ref="T32:T33"/>
    <mergeCell ref="F79:H79"/>
    <mergeCell ref="C73:E73"/>
    <mergeCell ref="C64:E64"/>
    <mergeCell ref="C62:E62"/>
    <mergeCell ref="C70:E70"/>
    <mergeCell ref="C76:E77"/>
    <mergeCell ref="C78:E78"/>
    <mergeCell ref="L66:N66"/>
    <mergeCell ref="C58:I59"/>
    <mergeCell ref="N43:O43"/>
    <mergeCell ref="N36:O36"/>
    <mergeCell ref="B34:D35"/>
    <mergeCell ref="E36:E37"/>
    <mergeCell ref="C83:E83"/>
    <mergeCell ref="C81:E81"/>
    <mergeCell ref="I80:K80"/>
    <mergeCell ref="I79:K79"/>
    <mergeCell ref="I76:J76"/>
    <mergeCell ref="I77:K77"/>
    <mergeCell ref="I75:K75"/>
    <mergeCell ref="L82:N82"/>
    <mergeCell ref="I78:K78"/>
    <mergeCell ref="B16:B21"/>
    <mergeCell ref="C28:D29"/>
    <mergeCell ref="C30:D31"/>
    <mergeCell ref="C32:D33"/>
    <mergeCell ref="C22:D23"/>
    <mergeCell ref="E22:E23"/>
    <mergeCell ref="N28:O28"/>
    <mergeCell ref="E16:E17"/>
    <mergeCell ref="E20:E21"/>
    <mergeCell ref="N20:O21"/>
    <mergeCell ref="L20:M20"/>
    <mergeCell ref="K21:M21"/>
    <mergeCell ref="E18:E19"/>
    <mergeCell ref="A4:A8"/>
    <mergeCell ref="K1:L1"/>
    <mergeCell ref="C7:E7"/>
    <mergeCell ref="G1:I1"/>
    <mergeCell ref="B11:D12"/>
    <mergeCell ref="B13:C13"/>
    <mergeCell ref="B5:B6"/>
    <mergeCell ref="C6:E6"/>
    <mergeCell ref="F8:I8"/>
    <mergeCell ref="A1:E2"/>
    <mergeCell ref="C5:E5"/>
    <mergeCell ref="E9:E10"/>
    <mergeCell ref="F3:I3"/>
    <mergeCell ref="E11:E12"/>
    <mergeCell ref="P2:Q3"/>
    <mergeCell ref="Q18:Q19"/>
    <mergeCell ref="Q7:Q8"/>
    <mergeCell ref="N10:O10"/>
    <mergeCell ref="Q9:Q10"/>
    <mergeCell ref="P9:P10"/>
    <mergeCell ref="P18:P19"/>
    <mergeCell ref="R16:R17"/>
    <mergeCell ref="J3:O8"/>
    <mergeCell ref="P16:P17"/>
    <mergeCell ref="Q16:Q17"/>
    <mergeCell ref="N13:O13"/>
    <mergeCell ref="I11:J11"/>
    <mergeCell ref="F2:I2"/>
    <mergeCell ref="P58:R59"/>
    <mergeCell ref="R49:T49"/>
    <mergeCell ref="T44:T45"/>
    <mergeCell ref="Q30:Q31"/>
    <mergeCell ref="E32:E33"/>
    <mergeCell ref="T22:T23"/>
    <mergeCell ref="Q24:Q25"/>
    <mergeCell ref="R37:S37"/>
    <mergeCell ref="Q34:Q35"/>
    <mergeCell ref="R24:R25"/>
    <mergeCell ref="S24:S25"/>
    <mergeCell ref="S22:S23"/>
    <mergeCell ref="T30:T31"/>
    <mergeCell ref="R22:R23"/>
    <mergeCell ref="P22:P23"/>
    <mergeCell ref="Q26:Q29"/>
    <mergeCell ref="P24:P25"/>
    <mergeCell ref="E24:E25"/>
    <mergeCell ref="E30:E31"/>
    <mergeCell ref="M31:O31"/>
    <mergeCell ref="N29:O29"/>
    <mergeCell ref="V4:X4"/>
    <mergeCell ref="P4:Q4"/>
    <mergeCell ref="R7:S7"/>
    <mergeCell ref="N14:O14"/>
    <mergeCell ref="N15:O15"/>
    <mergeCell ref="N19:O19"/>
    <mergeCell ref="Q5:Q6"/>
    <mergeCell ref="Q11:Q12"/>
    <mergeCell ref="P11:P12"/>
    <mergeCell ref="N12:O12"/>
    <mergeCell ref="P5:P6"/>
    <mergeCell ref="R18:R19"/>
    <mergeCell ref="O16:O17"/>
    <mergeCell ref="N18:O18"/>
    <mergeCell ref="R5:T6"/>
    <mergeCell ref="R8:S8"/>
    <mergeCell ref="S18:S19"/>
    <mergeCell ref="N9:O9"/>
    <mergeCell ref="R9:R10"/>
    <mergeCell ref="P7:P8"/>
    <mergeCell ref="AA26:AB27"/>
    <mergeCell ref="AC26:AC27"/>
    <mergeCell ref="S9:S10"/>
    <mergeCell ref="X16:AF17"/>
    <mergeCell ref="T9:T10"/>
    <mergeCell ref="T11:T12"/>
    <mergeCell ref="X21:Y21"/>
    <mergeCell ref="T27:T28"/>
    <mergeCell ref="X23:Y24"/>
    <mergeCell ref="T18:T19"/>
    <mergeCell ref="R11:S12"/>
    <mergeCell ref="W12:X13"/>
    <mergeCell ref="X28:Z29"/>
    <mergeCell ref="AD18:AF18"/>
    <mergeCell ref="AD20:AF20"/>
    <mergeCell ref="AD22:AF22"/>
    <mergeCell ref="AD23:AF23"/>
    <mergeCell ref="Y12:Z13"/>
    <mergeCell ref="S16:S17"/>
  </mergeCells>
  <phoneticPr fontId="3" type="noConversion"/>
  <hyperlinks>
    <hyperlink ref="AE33" location="'Parameter tables'!R44:AG69" display="click here" xr:uid="{BF5266CE-4305-4042-8345-F1B7B50AE255}"/>
    <hyperlink ref="D191" location="'Parameter tables'!R164:X167" display="here" xr:uid="{7393519C-EBDD-49C4-BE6D-5BE7BC4EFD08}"/>
    <hyperlink ref="AC35" location="'Parameter tables'!R192" display="(see also 'Parameter tables')" xr:uid="{BB3906DB-B4DE-4459-90E3-203811DDAF59}"/>
    <hyperlink ref="AC26" location="'Parameter tables'!O60" display="click here" xr:uid="{22DA1CBB-228D-4CDA-B5A9-AFE46BF7A112}"/>
    <hyperlink ref="AC26:AC27" location="'Parameter tables'!B64:M69" display="click here" xr:uid="{6F39D2B9-D780-4F43-AEF7-8349025DC533}"/>
    <hyperlink ref="O39" location="'Parameter tables'!A5:L9" display="'Parameter tables'!A5:L9" xr:uid="{0EA8D7A5-9F9D-4D31-9545-91A3B955879C}"/>
    <hyperlink ref="AC35:AE36" location="'Parameter tables'!O172:AF189" display="(see also 'Parameter tables')" xr:uid="{5B490D61-AB1B-4D13-96EB-B14C04B740F9}"/>
  </hyperlinks>
  <pageMargins left="0.24" right="0.13" top="0.5" bottom="0.16" header="0.31" footer="0.11811023622047245"/>
  <pageSetup paperSize="9" orientation="landscape" horizontalDpi="4294967293" verticalDpi="4294967293" r:id="rId1"/>
  <ignoredErrors>
    <ignoredError sqref="K165 M161 M164 K163 F150 F120 C51 C54" formula="1"/>
    <ignoredError sqref="D187:E187 E188:E189 D188:D190 G187:G189 J187:J190 K187:K189 E120" unlockedFormula="1"/>
    <ignoredError sqref="I71:I72 I75 I77 K74 K81 I79:I80 I82:I83 I85 H81" evalError="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222"/>
  <sheetViews>
    <sheetView showGridLines="0" topLeftCell="A136" zoomScale="115" zoomScaleNormal="115" workbookViewId="0">
      <selection activeCell="U168" sqref="U168:W168"/>
    </sheetView>
  </sheetViews>
  <sheetFormatPr baseColWidth="10" defaultColWidth="8.85546875" defaultRowHeight="12.75"/>
  <cols>
    <col min="1" max="1" width="10.140625" style="79" customWidth="1"/>
    <col min="2" max="2" width="13.5703125" style="1" customWidth="1"/>
    <col min="3" max="3" width="19" style="1" customWidth="1"/>
    <col min="4" max="4" width="6.5703125" style="1" customWidth="1"/>
    <col min="5" max="5" width="2.140625" style="1" customWidth="1"/>
    <col min="6" max="6" width="6.140625" style="1" customWidth="1"/>
    <col min="7" max="7" width="5.5703125" style="1" customWidth="1"/>
    <col min="8" max="8" width="5.42578125" style="1" customWidth="1"/>
    <col min="9" max="9" width="5.5703125" style="1" customWidth="1"/>
    <col min="10" max="12" width="5.7109375" style="1" customWidth="1"/>
    <col min="13" max="13" width="5.85546875" style="1" customWidth="1"/>
    <col min="14" max="14" width="3.42578125" style="1" customWidth="1"/>
    <col min="15" max="15" width="10.85546875" style="1" customWidth="1"/>
    <col min="16" max="16" width="5.140625" style="1" customWidth="1"/>
    <col min="17" max="17" width="6.42578125" style="1" customWidth="1"/>
    <col min="18" max="18" width="3.5703125" style="1" customWidth="1"/>
    <col min="19" max="19" width="6.7109375" style="1" customWidth="1"/>
    <col min="20" max="20" width="4.7109375" style="1" customWidth="1"/>
    <col min="21" max="21" width="3.28515625" style="1" customWidth="1"/>
    <col min="22" max="22" width="6.140625" style="1" customWidth="1"/>
    <col min="23" max="23" width="5" style="1" customWidth="1"/>
    <col min="24" max="24" width="3.140625" style="1" customWidth="1"/>
    <col min="25" max="25" width="5.140625" style="1" customWidth="1"/>
    <col min="26" max="26" width="4.5703125" style="1" customWidth="1"/>
    <col min="27" max="27" width="3.140625" style="1" customWidth="1"/>
    <col min="28" max="29" width="4.28515625" style="1" customWidth="1"/>
    <col min="30" max="30" width="4.7109375" style="1" customWidth="1"/>
    <col min="31" max="31" width="3.28515625" style="1" customWidth="1"/>
    <col min="32" max="32" width="4.28515625" style="1" customWidth="1"/>
    <col min="33" max="16384" width="8.85546875" style="1"/>
  </cols>
  <sheetData>
    <row r="1" spans="1:32" ht="15.75" customHeight="1" thickBot="1">
      <c r="A1" s="1800" t="s">
        <v>13</v>
      </c>
      <c r="O1" s="67"/>
      <c r="P1" s="67"/>
      <c r="Q1" s="67"/>
      <c r="R1" s="67"/>
      <c r="S1" s="1801">
        <v>2221</v>
      </c>
      <c r="T1" s="67"/>
      <c r="U1" s="67"/>
      <c r="V1" s="67"/>
      <c r="W1" s="67"/>
      <c r="X1" s="67"/>
      <c r="Y1" s="67"/>
      <c r="Z1" s="67"/>
      <c r="AA1" s="67"/>
      <c r="AB1" s="67"/>
      <c r="AC1" s="67"/>
      <c r="AD1" s="67"/>
      <c r="AE1" s="67"/>
      <c r="AF1" s="67"/>
    </row>
    <row r="2" spans="1:32" ht="13.15" customHeight="1">
      <c r="A2" s="3118" t="s">
        <v>1043</v>
      </c>
      <c r="B2" s="3118"/>
      <c r="C2" s="3118"/>
      <c r="D2" s="3118"/>
      <c r="E2" s="3118"/>
      <c r="F2" s="3118"/>
      <c r="M2" s="1802" t="s">
        <v>1011</v>
      </c>
      <c r="O2" s="3123" t="s">
        <v>1018</v>
      </c>
      <c r="P2" s="3123"/>
      <c r="Q2" s="3123"/>
      <c r="R2" s="3123"/>
      <c r="S2" s="3123"/>
      <c r="T2" s="3123"/>
      <c r="U2" s="3123"/>
      <c r="V2" s="3123"/>
      <c r="W2" s="3123"/>
      <c r="X2" s="3123"/>
      <c r="Y2" s="3123"/>
      <c r="Z2" s="3123"/>
      <c r="AA2" s="3123"/>
      <c r="AB2" s="3123"/>
      <c r="AC2" s="3123"/>
      <c r="AD2" s="3123"/>
      <c r="AE2" s="3123"/>
      <c r="AF2" s="3123"/>
    </row>
    <row r="3" spans="1:32" ht="15.75" customHeight="1" thickBot="1">
      <c r="A3" s="1803"/>
      <c r="F3" s="67"/>
      <c r="G3" s="1804"/>
      <c r="S3" s="1805"/>
      <c r="T3" s="1805"/>
    </row>
    <row r="4" spans="1:32" ht="15.75" customHeight="1">
      <c r="A4" s="1806" t="s">
        <v>1098</v>
      </c>
      <c r="B4" s="3398" t="s">
        <v>1082</v>
      </c>
      <c r="C4" s="3398"/>
      <c r="D4" s="3398"/>
      <c r="E4" s="3398"/>
      <c r="F4" s="3399"/>
      <c r="G4" s="3048" t="s">
        <v>259</v>
      </c>
      <c r="H4" s="3198" t="s">
        <v>410</v>
      </c>
      <c r="I4" s="3405"/>
      <c r="J4" s="3213" t="s">
        <v>0</v>
      </c>
      <c r="K4" s="3199"/>
      <c r="L4" s="3213" t="s">
        <v>1</v>
      </c>
      <c r="M4" s="3214"/>
    </row>
    <row r="5" spans="1:32" ht="12" customHeight="1">
      <c r="A5" s="1810" t="s">
        <v>4</v>
      </c>
      <c r="B5" s="3292" t="s">
        <v>1083</v>
      </c>
      <c r="C5" s="3292"/>
      <c r="D5" s="3292"/>
      <c r="E5" s="3292"/>
      <c r="F5" s="3293"/>
      <c r="G5" s="3049"/>
      <c r="H5" s="3395" t="s">
        <v>14</v>
      </c>
      <c r="I5" s="3396"/>
      <c r="J5" s="3357" t="s">
        <v>56</v>
      </c>
      <c r="K5" s="3397"/>
      <c r="L5" s="3406" t="s">
        <v>15</v>
      </c>
      <c r="M5" s="3407"/>
    </row>
    <row r="6" spans="1:32" ht="12" customHeight="1">
      <c r="A6" s="1814"/>
      <c r="B6" s="3036" t="s">
        <v>1077</v>
      </c>
      <c r="C6" s="1815" t="s">
        <v>1078</v>
      </c>
      <c r="D6" s="1816" t="s">
        <v>1084</v>
      </c>
      <c r="E6" s="1817" t="s">
        <v>162</v>
      </c>
      <c r="F6" s="2280">
        <v>1E-3</v>
      </c>
      <c r="G6" s="1818"/>
      <c r="H6" s="3165" t="s">
        <v>232</v>
      </c>
      <c r="I6" s="3142"/>
      <c r="J6" s="3276" t="s">
        <v>232</v>
      </c>
      <c r="K6" s="3414"/>
      <c r="L6" s="3039" t="s">
        <v>1001</v>
      </c>
      <c r="M6" s="3040"/>
    </row>
    <row r="7" spans="1:32" ht="12" customHeight="1">
      <c r="A7" s="1814"/>
      <c r="B7" s="3037"/>
      <c r="C7" s="1819" t="s">
        <v>1079</v>
      </c>
      <c r="D7" s="2284">
        <v>0.01</v>
      </c>
      <c r="E7" s="1820" t="s">
        <v>77</v>
      </c>
      <c r="F7" s="2281">
        <v>0.05</v>
      </c>
      <c r="G7" s="1821"/>
      <c r="H7" s="3166"/>
      <c r="I7" s="3144"/>
      <c r="J7" s="3415"/>
      <c r="K7" s="3416"/>
      <c r="L7" s="3041">
        <f>(D7+F7)/2</f>
        <v>3.0000000000000002E-2</v>
      </c>
      <c r="M7" s="3042"/>
      <c r="N7" s="3047"/>
      <c r="O7" s="3035" t="s">
        <v>919</v>
      </c>
      <c r="P7" s="3035"/>
      <c r="Q7" s="3035"/>
      <c r="R7" s="3034" t="s">
        <v>920</v>
      </c>
      <c r="S7" s="3034"/>
      <c r="T7" s="3034"/>
    </row>
    <row r="8" spans="1:32" ht="12" customHeight="1">
      <c r="A8" s="1814"/>
      <c r="B8" s="3037"/>
      <c r="C8" s="1822" t="s">
        <v>1080</v>
      </c>
      <c r="D8" s="1823">
        <f>F7</f>
        <v>0.05</v>
      </c>
      <c r="E8" s="1824" t="s">
        <v>77</v>
      </c>
      <c r="F8" s="2282">
        <v>0.1</v>
      </c>
      <c r="G8" s="1825"/>
      <c r="H8" s="3412"/>
      <c r="I8" s="3413"/>
      <c r="J8" s="3415"/>
      <c r="K8" s="3416"/>
      <c r="L8" s="3043">
        <f>(D8+F8)/2</f>
        <v>7.5000000000000011E-2</v>
      </c>
      <c r="M8" s="3044"/>
      <c r="N8" s="3047"/>
      <c r="O8" s="3035"/>
      <c r="P8" s="3035"/>
      <c r="Q8" s="3035"/>
      <c r="R8" s="3034"/>
      <c r="S8" s="3034"/>
      <c r="T8" s="3034"/>
    </row>
    <row r="9" spans="1:32" ht="12" customHeight="1">
      <c r="A9" s="1814"/>
      <c r="B9" s="3038"/>
      <c r="C9" s="1819" t="s">
        <v>1081</v>
      </c>
      <c r="D9" s="1827">
        <f>F8</f>
        <v>0.1</v>
      </c>
      <c r="E9" s="1828" t="s">
        <v>77</v>
      </c>
      <c r="F9" s="2283">
        <v>1</v>
      </c>
      <c r="G9" s="1825" t="s">
        <v>16</v>
      </c>
      <c r="H9" s="3410">
        <v>1</v>
      </c>
      <c r="I9" s="3411"/>
      <c r="J9" s="3415"/>
      <c r="K9" s="3416"/>
      <c r="L9" s="3045">
        <f>(D9+F9)/2</f>
        <v>0.55000000000000004</v>
      </c>
      <c r="M9" s="3046"/>
    </row>
    <row r="10" spans="1:32" ht="12" customHeight="1">
      <c r="A10" s="1829"/>
      <c r="B10" s="3402" t="s">
        <v>18</v>
      </c>
      <c r="C10" s="1831" t="s">
        <v>19</v>
      </c>
      <c r="D10" s="1832">
        <f>F9</f>
        <v>1</v>
      </c>
      <c r="E10" s="1833" t="s">
        <v>56</v>
      </c>
      <c r="F10" s="1391">
        <v>5</v>
      </c>
      <c r="G10" s="1834" t="s">
        <v>17</v>
      </c>
      <c r="H10" s="3375">
        <v>1</v>
      </c>
      <c r="I10" s="3122"/>
      <c r="J10" s="3415"/>
      <c r="K10" s="3416"/>
      <c r="L10" s="3376">
        <f>(D10+F10)/2</f>
        <v>3</v>
      </c>
      <c r="M10" s="3377"/>
      <c r="O10" s="1835"/>
      <c r="P10" s="1835"/>
      <c r="Q10" s="1835"/>
    </row>
    <row r="11" spans="1:32" ht="12" customHeight="1">
      <c r="A11" s="1829"/>
      <c r="B11" s="3402"/>
      <c r="C11" s="1831" t="s">
        <v>21</v>
      </c>
      <c r="D11" s="1836">
        <f t="shared" ref="D11:D16" si="0">F10</f>
        <v>5</v>
      </c>
      <c r="E11" s="1833" t="s">
        <v>56</v>
      </c>
      <c r="F11" s="1391">
        <v>25</v>
      </c>
      <c r="G11" s="1834" t="s">
        <v>20</v>
      </c>
      <c r="H11" s="3375">
        <v>2</v>
      </c>
      <c r="I11" s="3122"/>
      <c r="J11" s="3415"/>
      <c r="K11" s="3416"/>
      <c r="L11" s="3376">
        <f t="shared" ref="L11:L16" si="1">(D11+F11)/2</f>
        <v>15</v>
      </c>
      <c r="M11" s="3377"/>
      <c r="O11" s="1835"/>
      <c r="P11" s="1835"/>
      <c r="Q11" s="1835"/>
    </row>
    <row r="12" spans="1:32" ht="12" customHeight="1">
      <c r="A12" s="1829"/>
      <c r="B12" s="3402"/>
      <c r="C12" s="1831" t="s">
        <v>23</v>
      </c>
      <c r="D12" s="1836">
        <f t="shared" si="0"/>
        <v>25</v>
      </c>
      <c r="E12" s="1833" t="s">
        <v>56</v>
      </c>
      <c r="F12" s="1391">
        <v>50</v>
      </c>
      <c r="G12" s="1834" t="s">
        <v>22</v>
      </c>
      <c r="H12" s="3375">
        <v>4</v>
      </c>
      <c r="I12" s="3122"/>
      <c r="J12" s="3415"/>
      <c r="K12" s="3416"/>
      <c r="L12" s="3376">
        <f t="shared" si="1"/>
        <v>37.5</v>
      </c>
      <c r="M12" s="3377"/>
      <c r="O12" s="1835"/>
      <c r="P12" s="1835"/>
      <c r="Q12" s="1835"/>
    </row>
    <row r="13" spans="1:32" ht="12" customHeight="1">
      <c r="A13" s="1829"/>
      <c r="B13" s="3402"/>
      <c r="C13" s="3408" t="s">
        <v>25</v>
      </c>
      <c r="D13" s="1836">
        <f t="shared" si="0"/>
        <v>50</v>
      </c>
      <c r="E13" s="1833" t="s">
        <v>56</v>
      </c>
      <c r="F13" s="1391">
        <v>75</v>
      </c>
      <c r="G13" s="1834" t="s">
        <v>24</v>
      </c>
      <c r="H13" s="3375">
        <v>7</v>
      </c>
      <c r="I13" s="3122"/>
      <c r="J13" s="3415"/>
      <c r="K13" s="3416"/>
      <c r="L13" s="3376">
        <f t="shared" si="1"/>
        <v>62.5</v>
      </c>
      <c r="M13" s="3377"/>
      <c r="O13" s="1835"/>
      <c r="P13" s="1835"/>
      <c r="Q13" s="1835"/>
    </row>
    <row r="14" spans="1:32" ht="12" customHeight="1">
      <c r="A14" s="68"/>
      <c r="B14" s="3402"/>
      <c r="C14" s="3409"/>
      <c r="D14" s="1836">
        <f t="shared" si="0"/>
        <v>75</v>
      </c>
      <c r="E14" s="1833" t="s">
        <v>56</v>
      </c>
      <c r="F14" s="1391">
        <v>100</v>
      </c>
      <c r="G14" s="1837" t="s">
        <v>26</v>
      </c>
      <c r="H14" s="3381">
        <v>7</v>
      </c>
      <c r="I14" s="3382"/>
      <c r="J14" s="3415"/>
      <c r="K14" s="3416"/>
      <c r="L14" s="3400">
        <f t="shared" si="1"/>
        <v>87.5</v>
      </c>
      <c r="M14" s="3401"/>
      <c r="O14" s="1835"/>
      <c r="P14" s="1835"/>
      <c r="Q14" s="1835"/>
    </row>
    <row r="15" spans="1:32" ht="12" customHeight="1">
      <c r="A15" s="68"/>
      <c r="B15" s="3403"/>
      <c r="C15" s="3408" t="s">
        <v>27</v>
      </c>
      <c r="D15" s="1836">
        <f t="shared" si="0"/>
        <v>100</v>
      </c>
      <c r="E15" s="1838" t="s">
        <v>56</v>
      </c>
      <c r="F15" s="1392">
        <v>150</v>
      </c>
      <c r="G15" s="1839" t="s">
        <v>28</v>
      </c>
      <c r="H15" s="3375">
        <v>12</v>
      </c>
      <c r="I15" s="3122"/>
      <c r="J15" s="3415"/>
      <c r="K15" s="3416"/>
      <c r="L15" s="3393">
        <f t="shared" si="1"/>
        <v>125</v>
      </c>
      <c r="M15" s="3394"/>
      <c r="O15" s="1835"/>
      <c r="P15" s="1835"/>
      <c r="Q15" s="1835"/>
    </row>
    <row r="16" spans="1:32" ht="12" customHeight="1">
      <c r="A16" s="68"/>
      <c r="B16" s="3403"/>
      <c r="C16" s="3409"/>
      <c r="D16" s="1836">
        <f t="shared" si="0"/>
        <v>150</v>
      </c>
      <c r="E16" s="1838" t="s">
        <v>56</v>
      </c>
      <c r="F16" s="1392">
        <v>250</v>
      </c>
      <c r="G16" s="1839" t="s">
        <v>52</v>
      </c>
      <c r="H16" s="3375">
        <v>12</v>
      </c>
      <c r="I16" s="3122"/>
      <c r="J16" s="3415"/>
      <c r="K16" s="3416"/>
      <c r="L16" s="3393">
        <f t="shared" si="1"/>
        <v>200</v>
      </c>
      <c r="M16" s="3394"/>
      <c r="O16" s="1835"/>
      <c r="P16" s="1835"/>
      <c r="Q16" s="1835"/>
    </row>
    <row r="17" spans="1:20" ht="12" customHeight="1" thickBot="1">
      <c r="A17" s="1840"/>
      <c r="B17" s="3404"/>
      <c r="C17" s="1841" t="s">
        <v>29</v>
      </c>
      <c r="D17" s="1842" t="s">
        <v>255</v>
      </c>
      <c r="E17" s="1843" t="s">
        <v>161</v>
      </c>
      <c r="F17" s="1393">
        <f>F16</f>
        <v>250</v>
      </c>
      <c r="G17" s="1844" t="s">
        <v>54</v>
      </c>
      <c r="H17" s="3383">
        <v>15</v>
      </c>
      <c r="I17" s="3384"/>
      <c r="J17" s="3417"/>
      <c r="K17" s="3418"/>
      <c r="L17" s="3391">
        <v>300</v>
      </c>
      <c r="M17" s="3392"/>
      <c r="O17" s="1835"/>
      <c r="P17" s="1835"/>
      <c r="Q17" s="1835"/>
    </row>
    <row r="18" spans="1:20" ht="12" customHeight="1" thickTop="1">
      <c r="A18" s="1845" t="s">
        <v>423</v>
      </c>
      <c r="B18" s="1846" t="s">
        <v>417</v>
      </c>
      <c r="C18" s="1847"/>
      <c r="D18" s="1848"/>
      <c r="E18" s="1849"/>
      <c r="F18" s="1850"/>
      <c r="G18" s="1851"/>
      <c r="H18" s="1852"/>
      <c r="I18" s="1852"/>
      <c r="J18" s="1849"/>
      <c r="K18" s="1849"/>
      <c r="L18" s="1852"/>
      <c r="M18" s="1853"/>
      <c r="O18" s="1835"/>
      <c r="P18" s="1835"/>
      <c r="Q18" s="1835"/>
    </row>
    <row r="19" spans="1:20" ht="12" customHeight="1">
      <c r="A19" s="1854"/>
      <c r="B19" s="1855" t="s">
        <v>419</v>
      </c>
      <c r="C19" s="3385" t="s">
        <v>432</v>
      </c>
      <c r="D19" s="3386"/>
      <c r="E19" s="3386"/>
      <c r="F19" s="3386"/>
      <c r="G19" s="3386"/>
      <c r="H19" s="3386"/>
      <c r="I19" s="3386"/>
      <c r="J19" s="3386"/>
      <c r="K19" s="3386"/>
      <c r="L19" s="3386"/>
      <c r="M19" s="3387"/>
      <c r="N19" s="1856"/>
      <c r="O19" s="3419" t="s">
        <v>1017</v>
      </c>
      <c r="P19" s="3419"/>
      <c r="Q19" s="3420"/>
    </row>
    <row r="20" spans="1:20" ht="12" customHeight="1">
      <c r="A20" s="1854"/>
      <c r="B20" s="3350" t="s">
        <v>425</v>
      </c>
      <c r="C20" s="3363" t="s">
        <v>431</v>
      </c>
      <c r="D20" s="3364"/>
      <c r="E20" s="3364"/>
      <c r="F20" s="3364"/>
      <c r="G20" s="3364"/>
      <c r="H20" s="3364"/>
      <c r="I20" s="3364"/>
      <c r="J20" s="3364"/>
      <c r="K20" s="3364"/>
      <c r="L20" s="3364"/>
      <c r="M20" s="3365"/>
      <c r="N20" s="1856"/>
      <c r="O20" s="3421"/>
      <c r="P20" s="3421"/>
      <c r="Q20" s="3422"/>
    </row>
    <row r="21" spans="1:20" ht="12" customHeight="1">
      <c r="A21" s="1829"/>
      <c r="B21" s="3351"/>
      <c r="C21" s="3366"/>
      <c r="D21" s="3367"/>
      <c r="E21" s="3367"/>
      <c r="F21" s="3367"/>
      <c r="G21" s="3367"/>
      <c r="H21" s="3367"/>
      <c r="I21" s="3367"/>
      <c r="J21" s="3367"/>
      <c r="K21" s="3367"/>
      <c r="L21" s="3367"/>
      <c r="M21" s="3368"/>
      <c r="N21" s="1856"/>
      <c r="O21" s="3421"/>
      <c r="P21" s="3421"/>
      <c r="Q21" s="3422"/>
    </row>
    <row r="22" spans="1:20" ht="12" customHeight="1">
      <c r="A22" s="1829"/>
      <c r="B22" s="3350" t="s">
        <v>426</v>
      </c>
      <c r="C22" s="3432" t="s">
        <v>430</v>
      </c>
      <c r="D22" s="3433"/>
      <c r="E22" s="3433"/>
      <c r="F22" s="3433"/>
      <c r="G22" s="3433"/>
      <c r="H22" s="3433"/>
      <c r="I22" s="3433"/>
      <c r="J22" s="3433"/>
      <c r="K22" s="3433"/>
      <c r="L22" s="3433"/>
      <c r="M22" s="3434"/>
      <c r="N22" s="1856"/>
      <c r="O22" s="3421"/>
      <c r="P22" s="3421"/>
      <c r="Q22" s="3422"/>
    </row>
    <row r="23" spans="1:20" ht="12" customHeight="1">
      <c r="A23" s="1829"/>
      <c r="B23" s="3351"/>
      <c r="C23" s="3435"/>
      <c r="D23" s="3436"/>
      <c r="E23" s="3436"/>
      <c r="F23" s="3436"/>
      <c r="G23" s="3436"/>
      <c r="H23" s="3436"/>
      <c r="I23" s="3436"/>
      <c r="J23" s="3436"/>
      <c r="K23" s="3436"/>
      <c r="L23" s="3436"/>
      <c r="M23" s="3437"/>
      <c r="N23" s="1856"/>
      <c r="O23" s="3421"/>
      <c r="P23" s="3421"/>
      <c r="Q23" s="3422"/>
    </row>
    <row r="24" spans="1:20" ht="12" customHeight="1">
      <c r="A24" s="1829"/>
      <c r="B24" s="3350" t="s">
        <v>427</v>
      </c>
      <c r="C24" s="3363" t="s">
        <v>420</v>
      </c>
      <c r="D24" s="3364"/>
      <c r="E24" s="3364"/>
      <c r="F24" s="3364"/>
      <c r="G24" s="3364"/>
      <c r="H24" s="3364"/>
      <c r="I24" s="3364"/>
      <c r="J24" s="3364"/>
      <c r="K24" s="3364"/>
      <c r="L24" s="3364"/>
      <c r="M24" s="3365"/>
      <c r="N24" s="1856"/>
      <c r="O24" s="3421"/>
      <c r="P24" s="3421"/>
      <c r="Q24" s="3422"/>
    </row>
    <row r="25" spans="1:20" ht="12" customHeight="1">
      <c r="A25" s="1829"/>
      <c r="B25" s="3351"/>
      <c r="C25" s="3366"/>
      <c r="D25" s="3367"/>
      <c r="E25" s="3367"/>
      <c r="F25" s="3367"/>
      <c r="G25" s="3367"/>
      <c r="H25" s="3367"/>
      <c r="I25" s="3367"/>
      <c r="J25" s="3367"/>
      <c r="K25" s="3367"/>
      <c r="L25" s="3367"/>
      <c r="M25" s="3368"/>
      <c r="N25" s="1856"/>
      <c r="O25" s="3421"/>
      <c r="P25" s="3421"/>
      <c r="Q25" s="3422"/>
    </row>
    <row r="26" spans="1:20" ht="12" customHeight="1">
      <c r="A26" s="1829"/>
      <c r="B26" s="3350" t="s">
        <v>428</v>
      </c>
      <c r="C26" s="3363" t="s">
        <v>429</v>
      </c>
      <c r="D26" s="3364"/>
      <c r="E26" s="3364"/>
      <c r="F26" s="3364"/>
      <c r="G26" s="3364"/>
      <c r="H26" s="3364"/>
      <c r="I26" s="3364"/>
      <c r="J26" s="3364"/>
      <c r="K26" s="3364"/>
      <c r="L26" s="3364"/>
      <c r="M26" s="3365"/>
      <c r="N26" s="1856"/>
      <c r="O26" s="3421"/>
      <c r="P26" s="3421"/>
      <c r="Q26" s="3422"/>
    </row>
    <row r="27" spans="1:20" ht="12" customHeight="1">
      <c r="A27" s="1829"/>
      <c r="B27" s="3351"/>
      <c r="C27" s="3366"/>
      <c r="D27" s="3367"/>
      <c r="E27" s="3367"/>
      <c r="F27" s="3367"/>
      <c r="G27" s="3367"/>
      <c r="H27" s="3367"/>
      <c r="I27" s="3367"/>
      <c r="J27" s="3367"/>
      <c r="K27" s="3367"/>
      <c r="L27" s="3367"/>
      <c r="M27" s="3368"/>
      <c r="N27" s="1856"/>
      <c r="O27" s="3421"/>
      <c r="P27" s="3421"/>
      <c r="Q27" s="3422"/>
    </row>
    <row r="28" spans="1:20" ht="12" customHeight="1" thickBot="1">
      <c r="A28" s="1840"/>
      <c r="B28" s="1857" t="s">
        <v>421</v>
      </c>
      <c r="C28" s="3388" t="s">
        <v>422</v>
      </c>
      <c r="D28" s="3389"/>
      <c r="E28" s="3389"/>
      <c r="F28" s="3389"/>
      <c r="G28" s="3389"/>
      <c r="H28" s="3389"/>
      <c r="I28" s="3389"/>
      <c r="J28" s="3389"/>
      <c r="K28" s="3389"/>
      <c r="L28" s="3389"/>
      <c r="M28" s="3390"/>
      <c r="N28" s="1856"/>
      <c r="O28" s="3423"/>
      <c r="P28" s="3423"/>
      <c r="Q28" s="3424"/>
    </row>
    <row r="29" spans="1:20" ht="12" customHeight="1" thickBot="1">
      <c r="A29" s="1803"/>
      <c r="B29" s="1858"/>
      <c r="C29" s="1858"/>
      <c r="D29" s="1858"/>
      <c r="E29" s="1858"/>
      <c r="F29" s="1858"/>
      <c r="G29" s="1858"/>
      <c r="H29" s="1858"/>
      <c r="I29" s="1858"/>
      <c r="J29" s="1858"/>
      <c r="O29" s="1859"/>
      <c r="P29" s="1859"/>
      <c r="Q29" s="1859"/>
    </row>
    <row r="30" spans="1:20" ht="14.25" customHeight="1">
      <c r="A30" s="1806" t="s">
        <v>1097</v>
      </c>
      <c r="B30" s="3177" t="s">
        <v>30</v>
      </c>
      <c r="C30" s="3177"/>
      <c r="D30" s="3177"/>
      <c r="E30" s="3177"/>
      <c r="F30" s="3178"/>
      <c r="G30" s="3048" t="s">
        <v>259</v>
      </c>
      <c r="H30" s="3198" t="s">
        <v>410</v>
      </c>
      <c r="I30" s="3199"/>
      <c r="J30" s="3213" t="s">
        <v>0</v>
      </c>
      <c r="K30" s="3199"/>
      <c r="L30" s="3213" t="s">
        <v>1</v>
      </c>
      <c r="M30" s="3214"/>
    </row>
    <row r="31" spans="1:20" ht="12" customHeight="1">
      <c r="A31" s="1862" t="s">
        <v>5</v>
      </c>
      <c r="B31" s="3292" t="s">
        <v>197</v>
      </c>
      <c r="C31" s="3361"/>
      <c r="D31" s="1811"/>
      <c r="E31" s="1811"/>
      <c r="F31" s="1863"/>
      <c r="G31" s="3049"/>
      <c r="H31" s="3369" t="s">
        <v>31</v>
      </c>
      <c r="I31" s="3300"/>
      <c r="J31" s="3370" t="s">
        <v>32</v>
      </c>
      <c r="K31" s="3304"/>
      <c r="L31" s="3357" t="s">
        <v>56</v>
      </c>
      <c r="M31" s="3358"/>
    </row>
    <row r="32" spans="1:20" ht="12" customHeight="1">
      <c r="A32" s="3346"/>
      <c r="B32" s="3331" t="s">
        <v>36</v>
      </c>
      <c r="C32" s="1865"/>
      <c r="D32" s="1866" t="s">
        <v>111</v>
      </c>
      <c r="E32" s="1867" t="s">
        <v>162</v>
      </c>
      <c r="F32" s="170">
        <v>10</v>
      </c>
      <c r="G32" s="1868" t="s">
        <v>16</v>
      </c>
      <c r="H32" s="3359">
        <v>5</v>
      </c>
      <c r="I32" s="3360"/>
      <c r="J32" s="3371">
        <f>F32</f>
        <v>10</v>
      </c>
      <c r="K32" s="3372"/>
      <c r="L32" s="3294" t="s">
        <v>232</v>
      </c>
      <c r="M32" s="3443"/>
      <c r="O32" s="3560"/>
      <c r="P32" s="3560"/>
      <c r="Q32" s="3560"/>
      <c r="S32" s="1869"/>
      <c r="T32" s="1869"/>
    </row>
    <row r="33" spans="1:28" ht="12" customHeight="1">
      <c r="A33" s="3347"/>
      <c r="B33" s="3332"/>
      <c r="C33" s="1870"/>
      <c r="D33" s="1871">
        <f>F32</f>
        <v>10</v>
      </c>
      <c r="E33" s="1833" t="s">
        <v>56</v>
      </c>
      <c r="F33" s="168">
        <v>25</v>
      </c>
      <c r="G33" s="1872" t="s">
        <v>17</v>
      </c>
      <c r="H33" s="3312">
        <v>5</v>
      </c>
      <c r="I33" s="3362"/>
      <c r="J33" s="3352">
        <f>(D33+F33)/2</f>
        <v>17.5</v>
      </c>
      <c r="K33" s="3353"/>
      <c r="L33" s="3296"/>
      <c r="M33" s="3444"/>
      <c r="O33" s="3560"/>
      <c r="P33" s="3560"/>
      <c r="Q33" s="3560"/>
      <c r="S33" s="1869"/>
      <c r="T33" s="1869"/>
    </row>
    <row r="34" spans="1:28" ht="12" customHeight="1">
      <c r="A34" s="3347"/>
      <c r="B34" s="1873" t="s">
        <v>35</v>
      </c>
      <c r="C34" s="1874"/>
      <c r="D34" s="1871">
        <f>F33</f>
        <v>25</v>
      </c>
      <c r="E34" s="1833" t="s">
        <v>56</v>
      </c>
      <c r="F34" s="168">
        <v>50</v>
      </c>
      <c r="G34" s="1872" t="s">
        <v>20</v>
      </c>
      <c r="H34" s="3312">
        <v>8</v>
      </c>
      <c r="I34" s="3362"/>
      <c r="J34" s="3352">
        <f>(D34+F34)/2</f>
        <v>37.5</v>
      </c>
      <c r="K34" s="3353"/>
      <c r="L34" s="3296"/>
      <c r="M34" s="3444"/>
      <c r="O34" s="3560"/>
      <c r="P34" s="3560"/>
      <c r="Q34" s="3560"/>
      <c r="S34" s="1869"/>
      <c r="T34" s="1869"/>
    </row>
    <row r="35" spans="1:28" ht="12" customHeight="1">
      <c r="A35" s="3347"/>
      <c r="B35" s="1873" t="s">
        <v>34</v>
      </c>
      <c r="C35" s="1874"/>
      <c r="D35" s="1871">
        <f>F34</f>
        <v>50</v>
      </c>
      <c r="E35" s="1833" t="s">
        <v>56</v>
      </c>
      <c r="F35" s="168">
        <v>75</v>
      </c>
      <c r="G35" s="1872" t="s">
        <v>22</v>
      </c>
      <c r="H35" s="3312">
        <v>13</v>
      </c>
      <c r="I35" s="3362"/>
      <c r="J35" s="3352">
        <f>(D35+F35)/2</f>
        <v>62.5</v>
      </c>
      <c r="K35" s="3353"/>
      <c r="L35" s="3296"/>
      <c r="M35" s="3444"/>
      <c r="O35" s="3560"/>
      <c r="P35" s="3560"/>
      <c r="Q35" s="3560"/>
      <c r="S35" s="1869"/>
      <c r="T35" s="1869"/>
    </row>
    <row r="36" spans="1:28" ht="12" customHeight="1">
      <c r="A36" s="3347"/>
      <c r="B36" s="1873" t="s">
        <v>33</v>
      </c>
      <c r="C36" s="1874"/>
      <c r="D36" s="1871">
        <f>F35</f>
        <v>75</v>
      </c>
      <c r="E36" s="1833" t="s">
        <v>56</v>
      </c>
      <c r="F36" s="168">
        <v>90</v>
      </c>
      <c r="G36" s="1872" t="s">
        <v>24</v>
      </c>
      <c r="H36" s="3312">
        <v>17</v>
      </c>
      <c r="I36" s="3362"/>
      <c r="J36" s="3352">
        <f>(D36+F36)/2</f>
        <v>82.5</v>
      </c>
      <c r="K36" s="3353"/>
      <c r="L36" s="3296"/>
      <c r="M36" s="3444"/>
      <c r="O36" s="3560"/>
      <c r="P36" s="3560"/>
      <c r="Q36" s="3560"/>
      <c r="S36" s="1869"/>
      <c r="T36" s="1869"/>
    </row>
    <row r="37" spans="1:28" ht="12" customHeight="1">
      <c r="A37" s="3347"/>
      <c r="B37" s="3349" t="s">
        <v>971</v>
      </c>
      <c r="C37" s="3354"/>
      <c r="D37" s="1871">
        <f>F36</f>
        <v>90</v>
      </c>
      <c r="E37" s="1833" t="s">
        <v>56</v>
      </c>
      <c r="F37" s="168">
        <v>100</v>
      </c>
      <c r="G37" s="1872" t="s">
        <v>26</v>
      </c>
      <c r="H37" s="3312">
        <v>20</v>
      </c>
      <c r="I37" s="3313"/>
      <c r="J37" s="3352">
        <f>(D37+F37)/2</f>
        <v>95</v>
      </c>
      <c r="K37" s="3353"/>
      <c r="L37" s="3296"/>
      <c r="M37" s="3444"/>
      <c r="O37" s="3560"/>
      <c r="P37" s="3560"/>
      <c r="Q37" s="3560"/>
      <c r="S37" s="1875"/>
      <c r="T37" s="1875"/>
      <c r="U37" s="1875"/>
      <c r="V37" s="1875"/>
      <c r="W37" s="1875"/>
      <c r="X37" s="1876"/>
      <c r="Y37" s="1875"/>
      <c r="Z37" s="1877"/>
      <c r="AA37" s="1794"/>
    </row>
    <row r="38" spans="1:28" ht="12" customHeight="1">
      <c r="A38" s="3348"/>
      <c r="B38" s="3355"/>
      <c r="C38" s="3356"/>
      <c r="D38" s="1879"/>
      <c r="E38" s="1880"/>
      <c r="F38" s="171">
        <f>F37</f>
        <v>100</v>
      </c>
      <c r="G38" s="1881" t="s">
        <v>28</v>
      </c>
      <c r="H38" s="3561">
        <v>20</v>
      </c>
      <c r="I38" s="3562"/>
      <c r="J38" s="3563">
        <v>100</v>
      </c>
      <c r="K38" s="3564"/>
      <c r="L38" s="3445"/>
      <c r="M38" s="3446"/>
      <c r="O38" s="3560"/>
      <c r="P38" s="3560"/>
      <c r="Q38" s="3560"/>
      <c r="S38" s="93"/>
      <c r="T38" s="93"/>
      <c r="U38" s="93"/>
      <c r="V38" s="93"/>
      <c r="W38" s="93"/>
      <c r="X38" s="93"/>
      <c r="Y38" s="94"/>
      <c r="Z38" s="94"/>
      <c r="AA38" s="93"/>
    </row>
    <row r="39" spans="1:28" ht="12" customHeight="1" thickBot="1">
      <c r="A39" s="1882"/>
      <c r="B39" s="3379" t="s">
        <v>235</v>
      </c>
      <c r="C39" s="3379"/>
      <c r="D39" s="3379"/>
      <c r="E39" s="3379"/>
      <c r="F39" s="3379"/>
      <c r="G39" s="3379"/>
      <c r="H39" s="3379"/>
      <c r="I39" s="3379"/>
      <c r="J39" s="3379"/>
      <c r="K39" s="3379"/>
      <c r="L39" s="3379"/>
      <c r="M39" s="3380"/>
      <c r="O39" s="69"/>
      <c r="P39" s="69"/>
      <c r="Q39" s="69"/>
    </row>
    <row r="40" spans="1:28" ht="12" customHeight="1" thickTop="1">
      <c r="A40" s="1883" t="s">
        <v>6</v>
      </c>
      <c r="B40" s="3246" t="s">
        <v>11</v>
      </c>
      <c r="C40" s="3246"/>
      <c r="D40" s="3246"/>
      <c r="E40" s="3246"/>
      <c r="F40" s="3247"/>
      <c r="G40" s="1885"/>
      <c r="H40" s="3159" t="s">
        <v>56</v>
      </c>
      <c r="I40" s="3160"/>
      <c r="J40" s="3339" t="s">
        <v>56</v>
      </c>
      <c r="K40" s="3340"/>
      <c r="L40" s="3373" t="s">
        <v>985</v>
      </c>
      <c r="M40" s="3374"/>
    </row>
    <row r="41" spans="1:28" ht="12" customHeight="1">
      <c r="A41" s="1886"/>
      <c r="B41" s="3331" t="s">
        <v>341</v>
      </c>
      <c r="C41" s="3329"/>
      <c r="D41" s="1887"/>
      <c r="E41" s="1888" t="s">
        <v>162</v>
      </c>
      <c r="F41" s="1417">
        <v>0.3</v>
      </c>
      <c r="G41" s="1867" t="s">
        <v>16</v>
      </c>
      <c r="H41" s="3165" t="s">
        <v>232</v>
      </c>
      <c r="I41" s="3142"/>
      <c r="J41" s="3294" t="s">
        <v>232</v>
      </c>
      <c r="K41" s="3295"/>
      <c r="L41" s="3439">
        <f>F41/2/10^3</f>
        <v>1.4999999999999999E-4</v>
      </c>
      <c r="M41" s="3440"/>
      <c r="O41" s="3560"/>
      <c r="P41" s="3560"/>
      <c r="Q41" s="3560"/>
    </row>
    <row r="42" spans="1:28" ht="12" customHeight="1">
      <c r="A42" s="68"/>
      <c r="B42" s="3332"/>
      <c r="C42" s="3330"/>
      <c r="D42" s="1889">
        <f>F41</f>
        <v>0.3</v>
      </c>
      <c r="E42" s="1890" t="s">
        <v>56</v>
      </c>
      <c r="F42" s="1891">
        <v>1</v>
      </c>
      <c r="G42" s="1892" t="s">
        <v>17</v>
      </c>
      <c r="H42" s="3166"/>
      <c r="I42" s="3144"/>
      <c r="J42" s="3296"/>
      <c r="K42" s="3297"/>
      <c r="L42" s="3533">
        <f>(D42+F42)/2/10^3</f>
        <v>6.4999999999999997E-4</v>
      </c>
      <c r="M42" s="3534"/>
      <c r="O42" s="3560"/>
      <c r="P42" s="3560"/>
      <c r="Q42" s="3560"/>
      <c r="S42" s="1893"/>
    </row>
    <row r="43" spans="1:28" ht="12" customHeight="1">
      <c r="A43" s="68"/>
      <c r="B43" s="1873" t="s">
        <v>340</v>
      </c>
      <c r="C43" s="1894"/>
      <c r="D43" s="1889">
        <f>F42</f>
        <v>1</v>
      </c>
      <c r="E43" s="1833" t="s">
        <v>56</v>
      </c>
      <c r="F43" s="1895">
        <v>3</v>
      </c>
      <c r="G43" s="1872" t="s">
        <v>20</v>
      </c>
      <c r="H43" s="3166"/>
      <c r="I43" s="3144"/>
      <c r="J43" s="3296"/>
      <c r="K43" s="3297"/>
      <c r="L43" s="3533">
        <f>(D43+F43)/2/10^3</f>
        <v>2E-3</v>
      </c>
      <c r="M43" s="3534"/>
      <c r="O43" s="3560"/>
      <c r="P43" s="3560"/>
      <c r="Q43" s="3560"/>
      <c r="S43" s="1893"/>
    </row>
    <row r="44" spans="1:28" ht="12" customHeight="1">
      <c r="A44" s="68"/>
      <c r="B44" s="1873" t="s">
        <v>337</v>
      </c>
      <c r="C44" s="1894"/>
      <c r="D44" s="1889">
        <f>F43</f>
        <v>3</v>
      </c>
      <c r="E44" s="1833" t="s">
        <v>56</v>
      </c>
      <c r="F44" s="1895">
        <v>15</v>
      </c>
      <c r="G44" s="1872" t="s">
        <v>22</v>
      </c>
      <c r="H44" s="3166"/>
      <c r="I44" s="3144"/>
      <c r="J44" s="3296"/>
      <c r="K44" s="3297"/>
      <c r="L44" s="3430">
        <f>(D44+F44)/2/10^3</f>
        <v>8.9999999999999993E-3</v>
      </c>
      <c r="M44" s="3431"/>
      <c r="O44" s="3560"/>
      <c r="P44" s="3560"/>
      <c r="Q44" s="3560"/>
      <c r="S44" s="1893"/>
    </row>
    <row r="45" spans="1:28" ht="12" customHeight="1">
      <c r="A45" s="68"/>
      <c r="B45" s="3349" t="s">
        <v>338</v>
      </c>
      <c r="C45" s="3378"/>
      <c r="D45" s="1889">
        <f>F44</f>
        <v>15</v>
      </c>
      <c r="E45" s="1833" t="s">
        <v>56</v>
      </c>
      <c r="F45" s="1895">
        <v>70</v>
      </c>
      <c r="G45" s="1872" t="s">
        <v>24</v>
      </c>
      <c r="H45" s="3166"/>
      <c r="I45" s="3144"/>
      <c r="J45" s="3296"/>
      <c r="K45" s="3297"/>
      <c r="L45" s="3565">
        <f>(D45+F45)/2/10^3</f>
        <v>4.2500000000000003E-2</v>
      </c>
      <c r="M45" s="3566"/>
      <c r="O45" s="3560"/>
      <c r="P45" s="3560"/>
      <c r="Q45" s="3560"/>
      <c r="S45" s="92"/>
      <c r="T45" s="92"/>
      <c r="U45" s="92"/>
      <c r="V45" s="92"/>
      <c r="W45" s="92"/>
      <c r="X45" s="92"/>
      <c r="Y45" s="92"/>
      <c r="Z45" s="92"/>
      <c r="AA45" s="92"/>
    </row>
    <row r="46" spans="1:28" ht="12" customHeight="1">
      <c r="A46" s="68"/>
      <c r="B46" s="3332"/>
      <c r="C46" s="3330"/>
      <c r="D46" s="1889">
        <f>F45</f>
        <v>70</v>
      </c>
      <c r="E46" s="1833" t="s">
        <v>56</v>
      </c>
      <c r="F46" s="1895">
        <v>500</v>
      </c>
      <c r="G46" s="1872" t="s">
        <v>26</v>
      </c>
      <c r="H46" s="3166"/>
      <c r="I46" s="3144"/>
      <c r="J46" s="3296"/>
      <c r="K46" s="3297"/>
      <c r="L46" s="3430">
        <f>(D46+F46)/2/10^3</f>
        <v>0.28499999999999998</v>
      </c>
      <c r="M46" s="3431"/>
      <c r="O46" s="3560"/>
      <c r="P46" s="3560"/>
      <c r="Q46" s="3560"/>
      <c r="S46" s="1896"/>
      <c r="T46" s="1896"/>
      <c r="U46" s="1896"/>
      <c r="V46" s="1896"/>
      <c r="W46" s="1896"/>
      <c r="X46" s="1896"/>
      <c r="Y46" s="1896"/>
      <c r="Z46" s="1896"/>
      <c r="AA46" s="1896"/>
      <c r="AB46" s="62"/>
    </row>
    <row r="47" spans="1:28" ht="12" customHeight="1">
      <c r="A47" s="68"/>
      <c r="B47" s="1897" t="s">
        <v>339</v>
      </c>
      <c r="C47" s="1898"/>
      <c r="D47" s="1899"/>
      <c r="E47" s="1880" t="s">
        <v>161</v>
      </c>
      <c r="F47" s="1900">
        <f>F46</f>
        <v>500</v>
      </c>
      <c r="G47" s="1881" t="s">
        <v>28</v>
      </c>
      <c r="H47" s="3170"/>
      <c r="I47" s="3171"/>
      <c r="J47" s="3445"/>
      <c r="K47" s="3447"/>
      <c r="L47" s="3448">
        <f>(F47*4)/1000</f>
        <v>2</v>
      </c>
      <c r="M47" s="3449"/>
      <c r="O47" s="3560"/>
      <c r="P47" s="3560"/>
      <c r="Q47" s="3560"/>
      <c r="S47" s="1901"/>
      <c r="T47" s="1901"/>
      <c r="U47" s="93"/>
      <c r="V47" s="93"/>
      <c r="W47" s="93"/>
      <c r="X47" s="93"/>
      <c r="Y47" s="93"/>
      <c r="Z47" s="1896"/>
      <c r="AA47" s="1896"/>
    </row>
    <row r="48" spans="1:28" ht="12.75" customHeight="1" thickBot="1">
      <c r="A48" s="70"/>
      <c r="B48" s="3379" t="s">
        <v>251</v>
      </c>
      <c r="C48" s="3379"/>
      <c r="D48" s="3379"/>
      <c r="E48" s="3379"/>
      <c r="F48" s="3379"/>
      <c r="G48" s="3379"/>
      <c r="H48" s="3379"/>
      <c r="I48" s="3379"/>
      <c r="J48" s="3379"/>
      <c r="K48" s="3379"/>
      <c r="L48" s="3379"/>
      <c r="M48" s="3380"/>
      <c r="S48" s="1901"/>
      <c r="T48" s="1901"/>
      <c r="U48" s="1901"/>
      <c r="V48" s="1901"/>
      <c r="W48" s="1901"/>
      <c r="X48" s="1901"/>
      <c r="Y48" s="1901"/>
      <c r="Z48" s="1901"/>
      <c r="AA48" s="1901"/>
      <c r="AB48" s="62"/>
    </row>
    <row r="49" spans="1:27" ht="12.75" customHeight="1" thickTop="1">
      <c r="A49" s="71" t="s">
        <v>7</v>
      </c>
      <c r="B49" s="1902" t="s">
        <v>1103</v>
      </c>
      <c r="C49" s="1903"/>
      <c r="D49" s="3339" t="s">
        <v>646</v>
      </c>
      <c r="E49" s="3540"/>
      <c r="F49" s="3541"/>
      <c r="G49" s="1904"/>
      <c r="H49" s="3535" t="s">
        <v>56</v>
      </c>
      <c r="I49" s="3536"/>
      <c r="J49" s="3537" t="s">
        <v>56</v>
      </c>
      <c r="K49" s="3536"/>
      <c r="L49" s="3537" t="s">
        <v>56</v>
      </c>
      <c r="M49" s="3538"/>
      <c r="O49" s="1905"/>
      <c r="P49" s="1905"/>
      <c r="Q49" s="1905"/>
      <c r="S49" s="1906"/>
      <c r="T49" s="1906"/>
      <c r="U49" s="1906"/>
      <c r="V49" s="1896"/>
      <c r="W49" s="1896"/>
      <c r="X49" s="1896"/>
      <c r="Y49" s="1896"/>
      <c r="Z49" s="1896"/>
      <c r="AA49" s="1896"/>
    </row>
    <row r="50" spans="1:27" ht="12.75" customHeight="1">
      <c r="A50" s="3326"/>
      <c r="B50" s="1907" t="s">
        <v>342</v>
      </c>
      <c r="C50" s="169">
        <v>45</v>
      </c>
      <c r="D50" s="1866"/>
      <c r="E50" s="1908" t="s">
        <v>161</v>
      </c>
      <c r="F50" s="170">
        <v>40</v>
      </c>
      <c r="G50" s="1868" t="s">
        <v>16</v>
      </c>
      <c r="H50" s="3543" t="s">
        <v>232</v>
      </c>
      <c r="I50" s="3142"/>
      <c r="J50" s="3294" t="s">
        <v>232</v>
      </c>
      <c r="K50" s="3295"/>
      <c r="L50" s="3141" t="s">
        <v>232</v>
      </c>
      <c r="M50" s="3273"/>
      <c r="N50" s="1856"/>
      <c r="O50" s="3419" t="s">
        <v>299</v>
      </c>
      <c r="P50" s="3419"/>
      <c r="Q50" s="3420"/>
      <c r="S50" s="1909"/>
      <c r="T50" s="1909"/>
      <c r="U50" s="1909"/>
      <c r="V50" s="1906"/>
      <c r="W50" s="1906"/>
      <c r="X50" s="1906"/>
      <c r="Y50" s="92"/>
      <c r="Z50" s="92"/>
      <c r="AA50" s="92"/>
    </row>
    <row r="51" spans="1:27" ht="12.75" customHeight="1">
      <c r="A51" s="3327"/>
      <c r="B51" s="3548" t="s">
        <v>158</v>
      </c>
      <c r="C51" s="1911">
        <f>(D51+F51)/2</f>
        <v>37</v>
      </c>
      <c r="D51" s="1871">
        <f>F50</f>
        <v>40</v>
      </c>
      <c r="E51" s="1833" t="s">
        <v>56</v>
      </c>
      <c r="F51" s="168">
        <v>34</v>
      </c>
      <c r="G51" s="1872" t="s">
        <v>17</v>
      </c>
      <c r="H51" s="3544"/>
      <c r="I51" s="3144"/>
      <c r="J51" s="3296"/>
      <c r="K51" s="3297"/>
      <c r="L51" s="3143"/>
      <c r="M51" s="3274"/>
      <c r="N51" s="1856"/>
      <c r="O51" s="3421"/>
      <c r="P51" s="3421"/>
      <c r="Q51" s="3422"/>
    </row>
    <row r="52" spans="1:27" ht="12.75" customHeight="1">
      <c r="A52" s="3327"/>
      <c r="B52" s="3549"/>
      <c r="C52" s="1911">
        <f>(D52+F52)/2</f>
        <v>29</v>
      </c>
      <c r="D52" s="1871">
        <f>F51</f>
        <v>34</v>
      </c>
      <c r="E52" s="1833" t="s">
        <v>56</v>
      </c>
      <c r="F52" s="168">
        <v>24</v>
      </c>
      <c r="G52" s="1872" t="s">
        <v>20</v>
      </c>
      <c r="H52" s="3544"/>
      <c r="I52" s="3144"/>
      <c r="J52" s="3296"/>
      <c r="K52" s="3297"/>
      <c r="L52" s="3143"/>
      <c r="M52" s="3274"/>
      <c r="N52" s="1856"/>
      <c r="O52" s="3421"/>
      <c r="P52" s="3421"/>
      <c r="Q52" s="3422"/>
    </row>
    <row r="53" spans="1:27" ht="12.75" customHeight="1">
      <c r="A53" s="3327"/>
      <c r="B53" s="3548" t="s">
        <v>337</v>
      </c>
      <c r="C53" s="1911">
        <f>(D53+F53)/2</f>
        <v>19</v>
      </c>
      <c r="D53" s="1871">
        <f>F52</f>
        <v>24</v>
      </c>
      <c r="E53" s="1833" t="s">
        <v>56</v>
      </c>
      <c r="F53" s="168">
        <v>14</v>
      </c>
      <c r="G53" s="1872" t="s">
        <v>22</v>
      </c>
      <c r="H53" s="3544"/>
      <c r="I53" s="3144"/>
      <c r="J53" s="3296"/>
      <c r="K53" s="3297"/>
      <c r="L53" s="3143"/>
      <c r="M53" s="3274"/>
      <c r="N53" s="1856"/>
      <c r="O53" s="3421"/>
      <c r="P53" s="3421"/>
      <c r="Q53" s="3422"/>
    </row>
    <row r="54" spans="1:27" ht="12.75" customHeight="1">
      <c r="A54" s="3327"/>
      <c r="B54" s="3549"/>
      <c r="C54" s="1911">
        <f>(D54+F54)/2</f>
        <v>11</v>
      </c>
      <c r="D54" s="1871">
        <f>F53</f>
        <v>14</v>
      </c>
      <c r="E54" s="1833" t="s">
        <v>56</v>
      </c>
      <c r="F54" s="168">
        <v>8</v>
      </c>
      <c r="G54" s="1872" t="s">
        <v>24</v>
      </c>
      <c r="H54" s="3544"/>
      <c r="I54" s="3144"/>
      <c r="J54" s="3296"/>
      <c r="K54" s="3297"/>
      <c r="L54" s="3143"/>
      <c r="M54" s="3274"/>
      <c r="N54" s="1856"/>
      <c r="O54" s="3421"/>
      <c r="P54" s="3421"/>
      <c r="Q54" s="3422"/>
    </row>
    <row r="55" spans="1:27" ht="12.75" customHeight="1">
      <c r="A55" s="3327"/>
      <c r="B55" s="1910" t="s">
        <v>159</v>
      </c>
      <c r="C55" s="1911">
        <f>(D55+F55)/2</f>
        <v>6</v>
      </c>
      <c r="D55" s="1871">
        <f>F54</f>
        <v>8</v>
      </c>
      <c r="E55" s="1833" t="s">
        <v>56</v>
      </c>
      <c r="F55" s="168">
        <v>4</v>
      </c>
      <c r="G55" s="1872" t="s">
        <v>26</v>
      </c>
      <c r="H55" s="3544"/>
      <c r="I55" s="3144"/>
      <c r="J55" s="3296"/>
      <c r="K55" s="3297"/>
      <c r="L55" s="3143"/>
      <c r="M55" s="3274"/>
      <c r="N55" s="1856"/>
      <c r="O55" s="3421"/>
      <c r="P55" s="3421"/>
      <c r="Q55" s="3422"/>
      <c r="Z55" s="3576"/>
      <c r="AA55" s="3576"/>
    </row>
    <row r="56" spans="1:27" ht="12.75" customHeight="1">
      <c r="A56" s="3328"/>
      <c r="B56" s="1913" t="s">
        <v>160</v>
      </c>
      <c r="C56" s="172">
        <v>2.5</v>
      </c>
      <c r="D56" s="1879"/>
      <c r="E56" s="1914" t="s">
        <v>162</v>
      </c>
      <c r="F56" s="173">
        <f>F55</f>
        <v>4</v>
      </c>
      <c r="G56" s="1915" t="s">
        <v>28</v>
      </c>
      <c r="H56" s="3544"/>
      <c r="I56" s="3144"/>
      <c r="J56" s="3296"/>
      <c r="K56" s="3297"/>
      <c r="L56" s="3143"/>
      <c r="M56" s="3274"/>
      <c r="N56" s="1856"/>
      <c r="O56" s="3423"/>
      <c r="P56" s="3423"/>
      <c r="Q56" s="3424"/>
    </row>
    <row r="57" spans="1:27" ht="12.75" customHeight="1" thickBot="1">
      <c r="A57" s="72"/>
      <c r="B57" s="1916" t="s">
        <v>343</v>
      </c>
      <c r="C57" s="1917"/>
      <c r="D57" s="1917"/>
      <c r="E57" s="1917"/>
      <c r="F57" s="1917"/>
      <c r="G57" s="1918"/>
      <c r="H57" s="3542"/>
      <c r="I57" s="3542"/>
      <c r="J57" s="3441"/>
      <c r="K57" s="3442"/>
      <c r="L57" s="3542"/>
      <c r="M57" s="3555"/>
      <c r="O57" s="1921"/>
      <c r="P57" s="1835"/>
      <c r="Q57" s="1835"/>
    </row>
    <row r="58" spans="1:27" ht="15.75" customHeight="1" thickTop="1">
      <c r="A58" s="1883" t="s">
        <v>258</v>
      </c>
      <c r="B58" s="3246" t="s">
        <v>1015</v>
      </c>
      <c r="C58" s="3545"/>
      <c r="D58" s="3339" t="s">
        <v>646</v>
      </c>
      <c r="E58" s="3540"/>
      <c r="F58" s="3541"/>
      <c r="G58" s="1922"/>
      <c r="H58" s="3585" t="s">
        <v>37</v>
      </c>
      <c r="I58" s="3340"/>
      <c r="J58" s="3339" t="s">
        <v>56</v>
      </c>
      <c r="K58" s="3340"/>
      <c r="L58" s="3339" t="s">
        <v>56</v>
      </c>
      <c r="M58" s="3539"/>
      <c r="N58" s="1923"/>
      <c r="O58" s="659"/>
      <c r="P58" s="1835"/>
      <c r="Q58" s="1835"/>
    </row>
    <row r="59" spans="1:27" ht="12" customHeight="1">
      <c r="A59" s="1829"/>
      <c r="B59" s="1924" t="s">
        <v>38</v>
      </c>
      <c r="C59" s="174">
        <v>3</v>
      </c>
      <c r="D59" s="1925" t="s">
        <v>716</v>
      </c>
      <c r="E59" s="1926" t="s">
        <v>161</v>
      </c>
      <c r="F59" s="1430">
        <f>F60</f>
        <v>2</v>
      </c>
      <c r="G59" s="1927"/>
      <c r="H59" s="3359">
        <v>20</v>
      </c>
      <c r="I59" s="3372"/>
      <c r="J59" s="3294" t="s">
        <v>232</v>
      </c>
      <c r="K59" s="3295"/>
      <c r="L59" s="3294" t="s">
        <v>232</v>
      </c>
      <c r="M59" s="3443"/>
      <c r="N59" s="1928"/>
      <c r="O59" s="3419" t="s">
        <v>916</v>
      </c>
      <c r="P59" s="3419"/>
      <c r="Q59" s="3420"/>
    </row>
    <row r="60" spans="1:27" ht="12" customHeight="1">
      <c r="A60" s="1829"/>
      <c r="B60" s="1929" t="s">
        <v>39</v>
      </c>
      <c r="C60" s="1930">
        <f>0.5*(D60+F60)</f>
        <v>1.3</v>
      </c>
      <c r="D60" s="1931">
        <f>F61</f>
        <v>0.6</v>
      </c>
      <c r="E60" s="1932" t="s">
        <v>56</v>
      </c>
      <c r="F60" s="1428">
        <v>2</v>
      </c>
      <c r="G60" s="1933"/>
      <c r="H60" s="3312">
        <v>15</v>
      </c>
      <c r="I60" s="3313"/>
      <c r="J60" s="3296"/>
      <c r="K60" s="3297"/>
      <c r="L60" s="3296"/>
      <c r="M60" s="3444"/>
      <c r="N60" s="1928"/>
      <c r="O60" s="3421"/>
      <c r="P60" s="3421"/>
      <c r="Q60" s="3422"/>
    </row>
    <row r="61" spans="1:27" ht="12" customHeight="1">
      <c r="A61" s="1829"/>
      <c r="B61" s="1929" t="s">
        <v>40</v>
      </c>
      <c r="C61" s="1930">
        <f>0.5*(D61+F61)</f>
        <v>0.4</v>
      </c>
      <c r="D61" s="1931">
        <f>F62</f>
        <v>0.2</v>
      </c>
      <c r="E61" s="1932" t="s">
        <v>56</v>
      </c>
      <c r="F61" s="1428">
        <v>0.6</v>
      </c>
      <c r="G61" s="1933"/>
      <c r="H61" s="3312">
        <v>10</v>
      </c>
      <c r="I61" s="3313"/>
      <c r="J61" s="3296"/>
      <c r="K61" s="3297"/>
      <c r="L61" s="3296"/>
      <c r="M61" s="3444"/>
      <c r="N61" s="1928"/>
      <c r="O61" s="3421"/>
      <c r="P61" s="3421"/>
      <c r="Q61" s="3422"/>
    </row>
    <row r="62" spans="1:27" ht="12" customHeight="1">
      <c r="A62" s="68"/>
      <c r="B62" s="1929" t="s">
        <v>41</v>
      </c>
      <c r="C62" s="1930">
        <f>0.5*(D62+F62)</f>
        <v>0.13</v>
      </c>
      <c r="D62" s="1931">
        <f>F63</f>
        <v>0.06</v>
      </c>
      <c r="E62" s="1932" t="s">
        <v>56</v>
      </c>
      <c r="F62" s="1428">
        <v>0.2</v>
      </c>
      <c r="G62" s="1933"/>
      <c r="H62" s="3312">
        <v>8</v>
      </c>
      <c r="I62" s="3313"/>
      <c r="J62" s="3296"/>
      <c r="K62" s="3297"/>
      <c r="L62" s="3296"/>
      <c r="M62" s="3444"/>
      <c r="N62" s="1928"/>
      <c r="O62" s="3421"/>
      <c r="P62" s="3421"/>
      <c r="Q62" s="3422"/>
    </row>
    <row r="63" spans="1:27" ht="12" customHeight="1">
      <c r="A63" s="1934"/>
      <c r="B63" s="1935" t="s">
        <v>42</v>
      </c>
      <c r="C63" s="1936">
        <f>0.5*(D63+F63)</f>
        <v>0.03</v>
      </c>
      <c r="D63" s="1879"/>
      <c r="E63" s="1937" t="s">
        <v>162</v>
      </c>
      <c r="F63" s="1429">
        <v>0.06</v>
      </c>
      <c r="G63" s="1938"/>
      <c r="H63" s="3553">
        <v>5</v>
      </c>
      <c r="I63" s="3554"/>
      <c r="J63" s="3445"/>
      <c r="K63" s="3447"/>
      <c r="L63" s="3445"/>
      <c r="M63" s="3446"/>
      <c r="N63" s="1928"/>
      <c r="O63" s="3423"/>
      <c r="P63" s="3423"/>
      <c r="Q63" s="3424"/>
    </row>
    <row r="64" spans="1:27" ht="15" customHeight="1" thickBot="1">
      <c r="A64" s="1939"/>
      <c r="B64" s="3281" t="s">
        <v>222</v>
      </c>
      <c r="C64" s="3281"/>
      <c r="D64" s="3281"/>
      <c r="E64" s="3281"/>
      <c r="F64" s="3281"/>
      <c r="G64" s="3281"/>
      <c r="H64" s="3281"/>
      <c r="I64" s="3281"/>
      <c r="J64" s="3281"/>
      <c r="K64" s="3281"/>
      <c r="L64" s="3281"/>
      <c r="M64" s="3282"/>
      <c r="N64" s="1923"/>
      <c r="O64" s="1940"/>
      <c r="P64" s="1940"/>
    </row>
    <row r="65" spans="1:23" ht="15" customHeight="1" thickBot="1">
      <c r="A65" s="1941"/>
      <c r="B65" s="1942"/>
      <c r="C65" s="1942"/>
      <c r="D65" s="1942"/>
      <c r="E65" s="1942"/>
      <c r="F65" s="1942"/>
      <c r="G65" s="1942"/>
      <c r="H65" s="1942"/>
      <c r="I65" s="1942"/>
      <c r="J65" s="1942"/>
      <c r="K65" s="1942"/>
      <c r="L65" s="1942"/>
      <c r="M65" s="1942"/>
      <c r="O65" s="1940"/>
      <c r="P65" s="1940"/>
    </row>
    <row r="66" spans="1:23" ht="12" customHeight="1">
      <c r="A66" s="1806" t="s">
        <v>1096</v>
      </c>
      <c r="B66" s="1807" t="s">
        <v>177</v>
      </c>
      <c r="C66" s="1807"/>
      <c r="D66" s="1807"/>
      <c r="E66" s="1807"/>
      <c r="F66" s="1808"/>
      <c r="G66" s="1809" t="s">
        <v>259</v>
      </c>
      <c r="H66" s="3198" t="s">
        <v>410</v>
      </c>
      <c r="I66" s="3199"/>
      <c r="J66" s="3213" t="s">
        <v>0</v>
      </c>
      <c r="K66" s="3199"/>
      <c r="L66" s="3213" t="s">
        <v>1</v>
      </c>
      <c r="M66" s="3214"/>
      <c r="O66" s="1940"/>
      <c r="P66" s="1940"/>
    </row>
    <row r="67" spans="1:23" ht="12" customHeight="1">
      <c r="A67" s="1810" t="s">
        <v>2</v>
      </c>
      <c r="B67" s="1943" t="s">
        <v>727</v>
      </c>
      <c r="C67" s="1944"/>
      <c r="D67" s="1944"/>
      <c r="E67" s="1944"/>
      <c r="F67" s="1945" t="s">
        <v>241</v>
      </c>
      <c r="G67" s="1813"/>
      <c r="H67" s="3550" t="s">
        <v>77</v>
      </c>
      <c r="I67" s="3551"/>
      <c r="J67" s="3552" t="s">
        <v>56</v>
      </c>
      <c r="K67" s="3551"/>
      <c r="L67" s="1946" t="s">
        <v>237</v>
      </c>
      <c r="M67" s="1947" t="s">
        <v>239</v>
      </c>
      <c r="O67" s="1940"/>
      <c r="P67" s="1940"/>
    </row>
    <row r="68" spans="1:23" ht="12" customHeight="1">
      <c r="A68" s="2285" t="s">
        <v>1020</v>
      </c>
      <c r="B68" s="3323" t="s">
        <v>240</v>
      </c>
      <c r="C68" s="3324"/>
      <c r="D68" s="1949" t="s">
        <v>907</v>
      </c>
      <c r="E68" s="1949"/>
      <c r="F68" s="1950"/>
      <c r="G68" s="1951" t="s">
        <v>16</v>
      </c>
      <c r="H68" s="3165" t="s">
        <v>232</v>
      </c>
      <c r="I68" s="3142"/>
      <c r="J68" s="3141" t="s">
        <v>232</v>
      </c>
      <c r="K68" s="3142"/>
      <c r="L68" s="1952" t="s">
        <v>1156</v>
      </c>
      <c r="M68" s="175">
        <v>30</v>
      </c>
      <c r="O68" s="1940"/>
      <c r="P68" s="1940"/>
    </row>
    <row r="69" spans="1:23" ht="12" customHeight="1">
      <c r="A69" s="2286" t="s">
        <v>1021</v>
      </c>
      <c r="B69" s="3315" t="s">
        <v>901</v>
      </c>
      <c r="C69" s="3316"/>
      <c r="D69" s="1955" t="s">
        <v>908</v>
      </c>
      <c r="E69" s="1955"/>
      <c r="F69" s="1956"/>
      <c r="G69" s="1957" t="s">
        <v>17</v>
      </c>
      <c r="H69" s="3166"/>
      <c r="I69" s="3144"/>
      <c r="J69" s="3143"/>
      <c r="K69" s="3144"/>
      <c r="L69" s="1958" t="s">
        <v>1157</v>
      </c>
      <c r="M69" s="176">
        <v>37</v>
      </c>
      <c r="O69" s="1940"/>
      <c r="P69" s="1940"/>
    </row>
    <row r="70" spans="1:23" ht="12" customHeight="1">
      <c r="A70" s="2286" t="s">
        <v>1022</v>
      </c>
      <c r="B70" s="3315" t="s">
        <v>902</v>
      </c>
      <c r="C70" s="3316"/>
      <c r="D70" s="1955" t="s">
        <v>903</v>
      </c>
      <c r="E70" s="1955"/>
      <c r="F70" s="1956"/>
      <c r="G70" s="1834" t="s">
        <v>20</v>
      </c>
      <c r="H70" s="3166"/>
      <c r="I70" s="3144"/>
      <c r="J70" s="3143"/>
      <c r="K70" s="3144"/>
      <c r="L70" s="1958" t="s">
        <v>1158</v>
      </c>
      <c r="M70" s="177">
        <v>52</v>
      </c>
      <c r="O70" s="1940"/>
      <c r="P70" s="1940"/>
      <c r="T70" s="1959" t="s">
        <v>944</v>
      </c>
    </row>
    <row r="71" spans="1:23" ht="12" customHeight="1">
      <c r="A71" s="2287" t="s">
        <v>1023</v>
      </c>
      <c r="B71" s="3315" t="s">
        <v>900</v>
      </c>
      <c r="C71" s="3316"/>
      <c r="D71" s="1955" t="s">
        <v>904</v>
      </c>
      <c r="E71" s="1955"/>
      <c r="F71" s="1956"/>
      <c r="G71" s="1834" t="s">
        <v>22</v>
      </c>
      <c r="H71" s="3166"/>
      <c r="I71" s="3144"/>
      <c r="J71" s="3143"/>
      <c r="K71" s="3144"/>
      <c r="L71" s="1958" t="s">
        <v>1159</v>
      </c>
      <c r="M71" s="177">
        <v>100</v>
      </c>
      <c r="O71" s="1940"/>
      <c r="P71" s="1940"/>
    </row>
    <row r="72" spans="1:23" ht="12" customHeight="1" thickBot="1">
      <c r="A72" s="2288" t="s">
        <v>1024</v>
      </c>
      <c r="B72" s="3317" t="s">
        <v>906</v>
      </c>
      <c r="C72" s="3318"/>
      <c r="D72" s="1960" t="s">
        <v>905</v>
      </c>
      <c r="E72" s="1960"/>
      <c r="F72" s="1961"/>
      <c r="G72" s="1844" t="s">
        <v>24</v>
      </c>
      <c r="H72" s="3575"/>
      <c r="I72" s="3557"/>
      <c r="J72" s="3556"/>
      <c r="K72" s="3557"/>
      <c r="L72" s="1962" t="s">
        <v>1160</v>
      </c>
      <c r="M72" s="178">
        <v>300</v>
      </c>
      <c r="O72" s="3425" t="s">
        <v>615</v>
      </c>
      <c r="P72" s="3425"/>
      <c r="Q72" s="3425"/>
      <c r="R72" s="3425"/>
      <c r="S72" s="3425"/>
      <c r="T72" s="3425"/>
      <c r="U72" s="3425"/>
      <c r="V72" s="3425"/>
      <c r="W72" s="3425"/>
    </row>
    <row r="73" spans="1:23" ht="12" customHeight="1" thickTop="1">
      <c r="A73" s="1883" t="s">
        <v>3</v>
      </c>
      <c r="B73" s="3314" t="s">
        <v>236</v>
      </c>
      <c r="C73" s="3314"/>
      <c r="D73" s="1963"/>
      <c r="E73" s="1963"/>
      <c r="F73" s="1964"/>
      <c r="G73" s="1965"/>
      <c r="H73" s="3159" t="s">
        <v>56</v>
      </c>
      <c r="I73" s="3160"/>
      <c r="J73" s="3223" t="s">
        <v>43</v>
      </c>
      <c r="K73" s="3160"/>
      <c r="L73" s="3587" t="s">
        <v>44</v>
      </c>
      <c r="M73" s="3588"/>
      <c r="N73" s="1966"/>
      <c r="O73" s="3577" t="s">
        <v>249</v>
      </c>
      <c r="P73" s="3578"/>
      <c r="Q73" s="3579"/>
      <c r="R73" s="3426" t="s">
        <v>300</v>
      </c>
      <c r="S73" s="3427"/>
      <c r="T73" s="3427"/>
      <c r="U73" s="3427"/>
      <c r="V73" s="3428"/>
    </row>
    <row r="74" spans="1:23" ht="12" customHeight="1">
      <c r="A74" s="1864"/>
      <c r="B74" s="3321" t="s">
        <v>45</v>
      </c>
      <c r="C74" s="3322"/>
      <c r="D74" s="1967"/>
      <c r="E74" s="1967"/>
      <c r="F74" s="1968"/>
      <c r="G74" s="1969" t="s">
        <v>16</v>
      </c>
      <c r="H74" s="3165" t="s">
        <v>232</v>
      </c>
      <c r="I74" s="3142"/>
      <c r="J74" s="3147">
        <v>0.75</v>
      </c>
      <c r="K74" s="3164"/>
      <c r="L74" s="3147">
        <v>6</v>
      </c>
      <c r="M74" s="3138"/>
      <c r="N74" s="1970"/>
      <c r="O74" s="1245">
        <v>15</v>
      </c>
      <c r="P74" s="1798" t="s">
        <v>294</v>
      </c>
      <c r="Q74" s="1971"/>
      <c r="R74" s="1972" t="str">
        <f>B74</f>
        <v>No or few joints</v>
      </c>
      <c r="S74" s="1972"/>
      <c r="T74" s="1972"/>
      <c r="U74" s="1973"/>
      <c r="V74" s="1974"/>
      <c r="W74" s="63"/>
    </row>
    <row r="75" spans="1:23" ht="12" customHeight="1">
      <c r="A75" s="1829"/>
      <c r="B75" s="3315" t="s">
        <v>46</v>
      </c>
      <c r="C75" s="3316"/>
      <c r="D75" s="1954"/>
      <c r="E75" s="1954"/>
      <c r="F75" s="1975"/>
      <c r="G75" s="1830" t="s">
        <v>17</v>
      </c>
      <c r="H75" s="3166"/>
      <c r="I75" s="3144"/>
      <c r="J75" s="3169">
        <v>2</v>
      </c>
      <c r="K75" s="3161"/>
      <c r="L75" s="3169">
        <v>3</v>
      </c>
      <c r="M75" s="3193"/>
      <c r="N75" s="1856"/>
      <c r="O75" s="1246">
        <v>5</v>
      </c>
      <c r="P75" s="1824" t="s">
        <v>56</v>
      </c>
      <c r="Q75" s="1976">
        <f t="shared" ref="Q75:Q81" si="2">O74</f>
        <v>15</v>
      </c>
      <c r="R75" s="1977" t="str">
        <f t="shared" ref="R75:R81" si="3">B75</f>
        <v>1  joint set</v>
      </c>
      <c r="S75" s="1977"/>
      <c r="T75" s="1977"/>
      <c r="U75" s="1978"/>
      <c r="V75" s="1979"/>
      <c r="W75" s="63"/>
    </row>
    <row r="76" spans="1:23" ht="12" customHeight="1">
      <c r="A76" s="1829"/>
      <c r="B76" s="3315" t="s">
        <v>47</v>
      </c>
      <c r="C76" s="3316"/>
      <c r="D76" s="1954"/>
      <c r="E76" s="1954"/>
      <c r="F76" s="1975"/>
      <c r="G76" s="1830" t="s">
        <v>20</v>
      </c>
      <c r="H76" s="3166"/>
      <c r="I76" s="3144"/>
      <c r="J76" s="3169">
        <v>3</v>
      </c>
      <c r="K76" s="3161"/>
      <c r="L76" s="3169">
        <v>2</v>
      </c>
      <c r="M76" s="3193"/>
      <c r="N76" s="1856"/>
      <c r="O76" s="1246">
        <v>1</v>
      </c>
      <c r="P76" s="1824" t="s">
        <v>56</v>
      </c>
      <c r="Q76" s="1976">
        <f t="shared" si="2"/>
        <v>5</v>
      </c>
      <c r="R76" s="1977" t="str">
        <f t="shared" si="3"/>
        <v>1  joint set + random joints</v>
      </c>
      <c r="S76" s="1977"/>
      <c r="T76" s="1977"/>
      <c r="U76" s="1978"/>
      <c r="V76" s="1979"/>
    </row>
    <row r="77" spans="1:23" ht="12" customHeight="1">
      <c r="A77" s="1829"/>
      <c r="B77" s="3315" t="s">
        <v>48</v>
      </c>
      <c r="C77" s="3316"/>
      <c r="D77" s="1954"/>
      <c r="E77" s="1954"/>
      <c r="F77" s="1975"/>
      <c r="G77" s="1830" t="s">
        <v>22</v>
      </c>
      <c r="H77" s="3166"/>
      <c r="I77" s="3144"/>
      <c r="J77" s="3169">
        <v>4</v>
      </c>
      <c r="K77" s="3161"/>
      <c r="L77" s="3169">
        <v>1.5</v>
      </c>
      <c r="M77" s="3193"/>
      <c r="N77" s="1856"/>
      <c r="O77" s="1246">
        <v>0.1</v>
      </c>
      <c r="P77" s="1824" t="s">
        <v>56</v>
      </c>
      <c r="Q77" s="1976">
        <f t="shared" si="2"/>
        <v>1</v>
      </c>
      <c r="R77" s="1977" t="str">
        <f t="shared" si="3"/>
        <v>2  joint sets</v>
      </c>
      <c r="S77" s="1977"/>
      <c r="T77" s="1977"/>
      <c r="U77" s="1978"/>
      <c r="V77" s="1979"/>
      <c r="W77" s="63"/>
    </row>
    <row r="78" spans="1:23" ht="12" customHeight="1">
      <c r="A78" s="1829"/>
      <c r="B78" s="3315" t="s">
        <v>49</v>
      </c>
      <c r="C78" s="3316"/>
      <c r="D78" s="1954"/>
      <c r="E78" s="1954"/>
      <c r="F78" s="1975"/>
      <c r="G78" s="1830" t="s">
        <v>24</v>
      </c>
      <c r="H78" s="3166"/>
      <c r="I78" s="3144"/>
      <c r="J78" s="3169">
        <v>6</v>
      </c>
      <c r="K78" s="3161"/>
      <c r="L78" s="3169">
        <v>1.2</v>
      </c>
      <c r="M78" s="3193"/>
      <c r="N78" s="1856"/>
      <c r="O78" s="1246">
        <v>0.01</v>
      </c>
      <c r="P78" s="1824" t="s">
        <v>56</v>
      </c>
      <c r="Q78" s="1976">
        <f t="shared" si="2"/>
        <v>0.1</v>
      </c>
      <c r="R78" s="1977" t="str">
        <f t="shared" si="3"/>
        <v>2  joint sets + random joints</v>
      </c>
      <c r="S78" s="1977"/>
      <c r="T78" s="1977"/>
      <c r="U78" s="1978"/>
      <c r="V78" s="1979"/>
    </row>
    <row r="79" spans="1:23" ht="12" customHeight="1">
      <c r="A79" s="1829"/>
      <c r="B79" s="3315" t="s">
        <v>50</v>
      </c>
      <c r="C79" s="3316"/>
      <c r="D79" s="1954"/>
      <c r="E79" s="1954"/>
      <c r="F79" s="1975"/>
      <c r="G79" s="1980" t="s">
        <v>26</v>
      </c>
      <c r="H79" s="3166"/>
      <c r="I79" s="3144"/>
      <c r="J79" s="3114">
        <v>9</v>
      </c>
      <c r="K79" s="3196"/>
      <c r="L79" s="3114">
        <v>1</v>
      </c>
      <c r="M79" s="3115"/>
      <c r="N79" s="1856"/>
      <c r="O79" s="1246">
        <v>1E-3</v>
      </c>
      <c r="P79" s="1824" t="s">
        <v>56</v>
      </c>
      <c r="Q79" s="1976">
        <f t="shared" si="2"/>
        <v>0.01</v>
      </c>
      <c r="R79" s="1977" t="str">
        <f t="shared" si="3"/>
        <v>3  joint sets</v>
      </c>
      <c r="S79" s="1977"/>
      <c r="T79" s="1977"/>
      <c r="U79" s="1978"/>
      <c r="V79" s="1981"/>
      <c r="W79" s="63"/>
    </row>
    <row r="80" spans="1:23" ht="12" customHeight="1">
      <c r="A80" s="1829"/>
      <c r="B80" s="3315" t="s">
        <v>51</v>
      </c>
      <c r="C80" s="3316"/>
      <c r="D80" s="1954"/>
      <c r="E80" s="1954"/>
      <c r="F80" s="1975"/>
      <c r="G80" s="1830" t="s">
        <v>28</v>
      </c>
      <c r="H80" s="3166"/>
      <c r="I80" s="3144"/>
      <c r="J80" s="3169">
        <v>12</v>
      </c>
      <c r="K80" s="3161"/>
      <c r="L80" s="3169">
        <v>0.85</v>
      </c>
      <c r="M80" s="3193"/>
      <c r="N80" s="1856"/>
      <c r="O80" s="1246">
        <v>1E-4</v>
      </c>
      <c r="P80" s="1824" t="s">
        <v>56</v>
      </c>
      <c r="Q80" s="1976">
        <f t="shared" si="2"/>
        <v>1E-3</v>
      </c>
      <c r="R80" s="1977" t="str">
        <f t="shared" si="3"/>
        <v>3  joint sets + random joints</v>
      </c>
      <c r="S80" s="1977"/>
      <c r="T80" s="1977"/>
      <c r="U80" s="1978"/>
      <c r="V80" s="1981"/>
      <c r="W80" s="63"/>
    </row>
    <row r="81" spans="1:32" ht="12" customHeight="1" thickBot="1">
      <c r="A81" s="68"/>
      <c r="B81" s="3315" t="s">
        <v>53</v>
      </c>
      <c r="C81" s="3316"/>
      <c r="D81" s="1954"/>
      <c r="E81" s="1954"/>
      <c r="F81" s="1982"/>
      <c r="G81" s="1830" t="s">
        <v>52</v>
      </c>
      <c r="H81" s="3166"/>
      <c r="I81" s="3144"/>
      <c r="J81" s="3169">
        <v>15</v>
      </c>
      <c r="K81" s="3161"/>
      <c r="L81" s="3169">
        <v>0.6</v>
      </c>
      <c r="M81" s="3193"/>
      <c r="N81" s="1966"/>
      <c r="O81" s="1247">
        <v>1.0000000000000001E-5</v>
      </c>
      <c r="P81" s="1983" t="s">
        <v>56</v>
      </c>
      <c r="Q81" s="1984">
        <f t="shared" si="2"/>
        <v>1E-4</v>
      </c>
      <c r="R81" s="1985" t="str">
        <f t="shared" si="3"/>
        <v>4  joint sets or more; heavily jointed</v>
      </c>
      <c r="S81" s="1985"/>
      <c r="T81" s="1985"/>
      <c r="U81" s="1986"/>
      <c r="V81" s="1987"/>
      <c r="W81" s="63"/>
    </row>
    <row r="82" spans="1:32" ht="12" customHeight="1" thickTop="1">
      <c r="A82" s="1878"/>
      <c r="B82" s="3319" t="s">
        <v>55</v>
      </c>
      <c r="C82" s="3320"/>
      <c r="D82" s="1988"/>
      <c r="E82" s="1988"/>
      <c r="F82" s="1989"/>
      <c r="G82" s="1938" t="s">
        <v>54</v>
      </c>
      <c r="H82" s="3170"/>
      <c r="I82" s="3171"/>
      <c r="J82" s="3516">
        <v>20</v>
      </c>
      <c r="K82" s="3263"/>
      <c r="L82" s="3558">
        <v>0.5</v>
      </c>
      <c r="M82" s="3559"/>
      <c r="N82" s="1856"/>
      <c r="O82" s="1990" t="s">
        <v>150</v>
      </c>
      <c r="P82" s="1991"/>
      <c r="Q82" s="3660" t="s">
        <v>318</v>
      </c>
      <c r="R82" s="3661"/>
      <c r="S82" s="3661"/>
      <c r="T82" s="3661"/>
      <c r="U82" s="3661"/>
      <c r="V82" s="3662"/>
      <c r="W82" s="3632" t="s">
        <v>319</v>
      </c>
      <c r="X82" s="3633"/>
      <c r="Y82" s="3633"/>
      <c r="Z82" s="3633"/>
      <c r="AA82" s="3633"/>
      <c r="AB82" s="3634"/>
      <c r="AC82" s="3629" t="s">
        <v>248</v>
      </c>
      <c r="AD82" s="3630"/>
      <c r="AE82" s="3630"/>
      <c r="AF82" s="3631"/>
    </row>
    <row r="83" spans="1:32" ht="12" customHeight="1" thickBot="1">
      <c r="A83" s="1992"/>
      <c r="B83" s="1993"/>
      <c r="C83" s="1993"/>
      <c r="D83" s="1993"/>
      <c r="E83" s="1993"/>
      <c r="F83" s="1993"/>
      <c r="G83" s="1920"/>
      <c r="H83" s="1919"/>
      <c r="I83" s="1919"/>
      <c r="J83" s="1994"/>
      <c r="K83" s="1994"/>
      <c r="L83" s="1995"/>
      <c r="M83" s="1996"/>
      <c r="N83" s="1928"/>
      <c r="O83" s="1997"/>
      <c r="P83" s="1998"/>
      <c r="Q83" s="3571" t="s">
        <v>293</v>
      </c>
      <c r="R83" s="3572"/>
      <c r="S83" s="3573"/>
      <c r="T83" s="3591" t="s">
        <v>302</v>
      </c>
      <c r="U83" s="3572"/>
      <c r="V83" s="3592"/>
      <c r="W83" s="3593" t="s">
        <v>303</v>
      </c>
      <c r="X83" s="3594"/>
      <c r="Y83" s="3595"/>
      <c r="Z83" s="3596" t="s">
        <v>304</v>
      </c>
      <c r="AA83" s="3594"/>
      <c r="AB83" s="3597"/>
      <c r="AC83" s="1999" t="s">
        <v>287</v>
      </c>
      <c r="AD83" s="3591" t="s">
        <v>302</v>
      </c>
      <c r="AE83" s="3572"/>
      <c r="AF83" s="3592"/>
    </row>
    <row r="84" spans="1:32" ht="12" customHeight="1" thickTop="1">
      <c r="A84" s="1883" t="s">
        <v>238</v>
      </c>
      <c r="B84" s="3314" t="s">
        <v>254</v>
      </c>
      <c r="C84" s="3314"/>
      <c r="D84" s="3314"/>
      <c r="E84" s="3314"/>
      <c r="F84" s="3325"/>
      <c r="G84" s="2000"/>
      <c r="H84" s="3224" t="s">
        <v>96</v>
      </c>
      <c r="I84" s="3173"/>
      <c r="J84" s="3172" t="s">
        <v>56</v>
      </c>
      <c r="K84" s="3173"/>
      <c r="L84" s="3172" t="s">
        <v>97</v>
      </c>
      <c r="M84" s="3429"/>
      <c r="N84" s="2001"/>
      <c r="O84" s="3125" t="s">
        <v>98</v>
      </c>
      <c r="P84" s="2289"/>
      <c r="Q84" s="2002"/>
      <c r="R84" s="2002"/>
      <c r="S84" s="2003" t="s">
        <v>288</v>
      </c>
      <c r="T84" s="2004"/>
      <c r="U84" s="2005" t="s">
        <v>162</v>
      </c>
      <c r="V84" s="2293">
        <v>15</v>
      </c>
      <c r="W84" s="2004"/>
      <c r="X84" s="2004"/>
      <c r="Y84" s="2003" t="s">
        <v>288</v>
      </c>
      <c r="Z84" s="2004"/>
      <c r="AA84" s="2005" t="s">
        <v>162</v>
      </c>
      <c r="AB84" s="2293">
        <v>15</v>
      </c>
      <c r="AC84" s="2006"/>
      <c r="AD84" s="2002"/>
      <c r="AE84" s="2002"/>
      <c r="AF84" s="2007"/>
    </row>
    <row r="85" spans="1:32" ht="12" customHeight="1">
      <c r="A85" s="1829"/>
      <c r="B85" s="3324" t="s">
        <v>98</v>
      </c>
      <c r="C85" s="3324"/>
      <c r="D85" s="1948"/>
      <c r="E85" s="1948"/>
      <c r="F85" s="2008"/>
      <c r="G85" s="1826" t="s">
        <v>16</v>
      </c>
      <c r="H85" s="3137">
        <v>0</v>
      </c>
      <c r="I85" s="3164"/>
      <c r="J85" s="3141" t="s">
        <v>232</v>
      </c>
      <c r="K85" s="3142"/>
      <c r="L85" s="3147">
        <v>1</v>
      </c>
      <c r="M85" s="3138"/>
      <c r="N85" s="1966"/>
      <c r="O85" s="3126"/>
      <c r="P85" s="2290"/>
      <c r="Q85" s="2009"/>
      <c r="R85" s="2010" t="s">
        <v>161</v>
      </c>
      <c r="S85" s="180">
        <v>70</v>
      </c>
      <c r="T85" s="3127" t="s">
        <v>288</v>
      </c>
      <c r="U85" s="3128"/>
      <c r="V85" s="3129"/>
      <c r="W85" s="2011"/>
      <c r="X85" s="2010" t="s">
        <v>161</v>
      </c>
      <c r="Y85" s="180">
        <v>70</v>
      </c>
      <c r="Z85" s="3085" t="s">
        <v>288</v>
      </c>
      <c r="AA85" s="3084"/>
      <c r="AB85" s="3086"/>
      <c r="AC85" s="3130" t="s">
        <v>151</v>
      </c>
      <c r="AD85" s="2013"/>
      <c r="AE85" s="2014" t="s">
        <v>161</v>
      </c>
      <c r="AF85" s="189">
        <v>60</v>
      </c>
    </row>
    <row r="86" spans="1:32" ht="12" customHeight="1">
      <c r="A86" s="1829"/>
      <c r="B86" s="3316" t="s">
        <v>99</v>
      </c>
      <c r="C86" s="3316"/>
      <c r="D86" s="1954"/>
      <c r="E86" s="1954"/>
      <c r="F86" s="2015"/>
      <c r="G86" s="1980" t="s">
        <v>17</v>
      </c>
      <c r="H86" s="3188">
        <v>-2</v>
      </c>
      <c r="I86" s="3196"/>
      <c r="J86" s="3143"/>
      <c r="K86" s="3144"/>
      <c r="L86" s="3204">
        <v>1</v>
      </c>
      <c r="M86" s="3212"/>
      <c r="N86" s="2016"/>
      <c r="O86" s="1248" t="s">
        <v>99</v>
      </c>
      <c r="P86" s="2291"/>
      <c r="Q86" s="1977"/>
      <c r="R86" s="2017" t="s">
        <v>162</v>
      </c>
      <c r="S86" s="181">
        <v>20</v>
      </c>
      <c r="T86" s="2018"/>
      <c r="U86" s="2017" t="s">
        <v>162</v>
      </c>
      <c r="V86" s="185">
        <v>20</v>
      </c>
      <c r="W86" s="2018"/>
      <c r="X86" s="2017" t="s">
        <v>162</v>
      </c>
      <c r="Y86" s="181">
        <v>20</v>
      </c>
      <c r="Z86" s="2019"/>
      <c r="AA86" s="2017" t="s">
        <v>162</v>
      </c>
      <c r="AB86" s="185">
        <v>20</v>
      </c>
      <c r="AC86" s="3130"/>
      <c r="AD86" s="188">
        <v>45</v>
      </c>
      <c r="AE86" s="2020" t="s">
        <v>77</v>
      </c>
      <c r="AF86" s="185">
        <v>60</v>
      </c>
    </row>
    <row r="87" spans="1:32" ht="12" customHeight="1">
      <c r="A87" s="1829"/>
      <c r="B87" s="3316" t="s">
        <v>34</v>
      </c>
      <c r="C87" s="3316"/>
      <c r="D87" s="1954"/>
      <c r="E87" s="1954"/>
      <c r="F87" s="2015"/>
      <c r="G87" s="1830" t="s">
        <v>20</v>
      </c>
      <c r="H87" s="3139">
        <v>-5</v>
      </c>
      <c r="I87" s="3161"/>
      <c r="J87" s="3143"/>
      <c r="K87" s="3144"/>
      <c r="L87" s="3169">
        <v>1.5</v>
      </c>
      <c r="M87" s="3193"/>
      <c r="N87" s="1856"/>
      <c r="O87" s="3132" t="s">
        <v>34</v>
      </c>
      <c r="P87" s="3133"/>
      <c r="Q87" s="2021"/>
      <c r="R87" s="2017" t="s">
        <v>162</v>
      </c>
      <c r="S87" s="181">
        <v>20</v>
      </c>
      <c r="T87" s="183">
        <v>20</v>
      </c>
      <c r="U87" s="2020" t="s">
        <v>56</v>
      </c>
      <c r="V87" s="185">
        <v>45</v>
      </c>
      <c r="W87" s="2022"/>
      <c r="X87" s="2017" t="s">
        <v>162</v>
      </c>
      <c r="Y87" s="181">
        <v>20</v>
      </c>
      <c r="Z87" s="2023"/>
      <c r="AA87" s="2017" t="s">
        <v>289</v>
      </c>
      <c r="AB87" s="185">
        <v>60</v>
      </c>
      <c r="AC87" s="3130"/>
      <c r="AD87" s="3135">
        <v>30</v>
      </c>
      <c r="AE87" s="3083" t="s">
        <v>77</v>
      </c>
      <c r="AF87" s="3601">
        <v>45</v>
      </c>
    </row>
    <row r="88" spans="1:32" ht="12" customHeight="1">
      <c r="A88" s="68"/>
      <c r="B88" s="3316" t="s">
        <v>100</v>
      </c>
      <c r="C88" s="3316"/>
      <c r="D88" s="1954"/>
      <c r="E88" s="1954"/>
      <c r="F88" s="2015"/>
      <c r="G88" s="1830" t="s">
        <v>22</v>
      </c>
      <c r="H88" s="3139">
        <v>-10</v>
      </c>
      <c r="I88" s="3161"/>
      <c r="J88" s="3143"/>
      <c r="K88" s="3144"/>
      <c r="L88" s="3169">
        <v>2</v>
      </c>
      <c r="M88" s="3193"/>
      <c r="N88" s="2024"/>
      <c r="O88" s="3126"/>
      <c r="P88" s="3134"/>
      <c r="Q88" s="183">
        <v>20</v>
      </c>
      <c r="R88" s="2020" t="s">
        <v>56</v>
      </c>
      <c r="S88" s="181">
        <v>70</v>
      </c>
      <c r="T88" s="2018"/>
      <c r="U88" s="2017" t="s">
        <v>162</v>
      </c>
      <c r="V88" s="185">
        <v>45</v>
      </c>
      <c r="W88" s="187">
        <v>20</v>
      </c>
      <c r="X88" s="2012" t="s">
        <v>56</v>
      </c>
      <c r="Y88" s="180">
        <v>70</v>
      </c>
      <c r="Z88" s="3085" t="s">
        <v>288</v>
      </c>
      <c r="AA88" s="3084"/>
      <c r="AB88" s="3086"/>
      <c r="AC88" s="3130"/>
      <c r="AD88" s="3136"/>
      <c r="AE88" s="3084"/>
      <c r="AF88" s="3602"/>
    </row>
    <row r="89" spans="1:32" ht="12" customHeight="1" thickBot="1">
      <c r="A89" s="1840"/>
      <c r="B89" s="3574" t="s">
        <v>101</v>
      </c>
      <c r="C89" s="3574"/>
      <c r="D89" s="2025"/>
      <c r="E89" s="2025"/>
      <c r="F89" s="2026"/>
      <c r="G89" s="2027" t="s">
        <v>24</v>
      </c>
      <c r="H89" s="3162">
        <v>-12</v>
      </c>
      <c r="I89" s="3163"/>
      <c r="J89" s="3145"/>
      <c r="K89" s="3146"/>
      <c r="L89" s="3546">
        <v>3</v>
      </c>
      <c r="M89" s="3547"/>
      <c r="N89" s="2024"/>
      <c r="O89" s="1248" t="s">
        <v>100</v>
      </c>
      <c r="P89" s="2291"/>
      <c r="Q89" s="183">
        <v>20</v>
      </c>
      <c r="R89" s="1824" t="s">
        <v>77</v>
      </c>
      <c r="S89" s="181">
        <v>70</v>
      </c>
      <c r="T89" s="183">
        <v>45</v>
      </c>
      <c r="U89" s="2020" t="s">
        <v>56</v>
      </c>
      <c r="V89" s="185">
        <v>90</v>
      </c>
      <c r="W89" s="2028"/>
      <c r="X89" s="2017" t="s">
        <v>162</v>
      </c>
      <c r="Y89" s="181">
        <v>20</v>
      </c>
      <c r="Z89" s="59"/>
      <c r="AA89" s="2017" t="s">
        <v>161</v>
      </c>
      <c r="AB89" s="185">
        <v>60</v>
      </c>
      <c r="AC89" s="3130"/>
      <c r="AD89" s="188">
        <v>15</v>
      </c>
      <c r="AE89" s="2020" t="s">
        <v>77</v>
      </c>
      <c r="AF89" s="185">
        <v>30</v>
      </c>
    </row>
    <row r="90" spans="1:32" ht="12" customHeight="1" thickBot="1">
      <c r="A90" s="1941"/>
      <c r="B90" s="73"/>
      <c r="C90" s="73"/>
      <c r="D90" s="73"/>
      <c r="E90" s="73"/>
      <c r="F90" s="73"/>
      <c r="G90" s="73"/>
      <c r="H90" s="1912"/>
      <c r="I90" s="1912"/>
      <c r="J90" s="1912"/>
      <c r="K90" s="1912"/>
      <c r="N90" s="2029"/>
      <c r="O90" s="1249" t="s">
        <v>101</v>
      </c>
      <c r="P90" s="2292"/>
      <c r="Q90" s="2030"/>
      <c r="R90" s="2031" t="s">
        <v>162</v>
      </c>
      <c r="S90" s="182">
        <v>20</v>
      </c>
      <c r="T90" s="184">
        <v>45</v>
      </c>
      <c r="U90" s="2032" t="s">
        <v>56</v>
      </c>
      <c r="V90" s="186">
        <v>90</v>
      </c>
      <c r="W90" s="2033"/>
      <c r="X90" s="2032" t="s">
        <v>56</v>
      </c>
      <c r="Y90" s="2034"/>
      <c r="Z90" s="2035"/>
      <c r="AA90" s="2036" t="s">
        <v>56</v>
      </c>
      <c r="AB90" s="2037"/>
      <c r="AC90" s="3131"/>
      <c r="AD90" s="2033"/>
      <c r="AE90" s="2031" t="s">
        <v>162</v>
      </c>
      <c r="AF90" s="186">
        <v>15</v>
      </c>
    </row>
    <row r="91" spans="1:32" ht="15" customHeight="1">
      <c r="A91" s="1806" t="s">
        <v>1095</v>
      </c>
      <c r="B91" s="3279" t="s">
        <v>57</v>
      </c>
      <c r="C91" s="3279"/>
      <c r="D91" s="3279"/>
      <c r="E91" s="3279"/>
      <c r="F91" s="3280"/>
      <c r="G91" s="3048" t="s">
        <v>260</v>
      </c>
      <c r="H91" s="3191" t="s">
        <v>411</v>
      </c>
      <c r="I91" s="3192"/>
      <c r="J91" s="3191" t="s">
        <v>194</v>
      </c>
      <c r="K91" s="3192"/>
      <c r="L91" s="3569" t="s">
        <v>1</v>
      </c>
      <c r="M91" s="3570"/>
      <c r="O91" s="2038"/>
      <c r="P91" s="1797"/>
      <c r="Q91" s="2039"/>
      <c r="R91" s="2039"/>
      <c r="S91" s="2040"/>
      <c r="T91" s="2041"/>
      <c r="U91" s="2042"/>
      <c r="V91" s="2040"/>
      <c r="W91" s="2043"/>
      <c r="X91" s="2042"/>
      <c r="Y91" s="2044"/>
      <c r="Z91" s="2045"/>
      <c r="AA91" s="50"/>
      <c r="AB91" s="2044"/>
      <c r="AC91" s="2046"/>
      <c r="AD91" s="2043"/>
      <c r="AE91" s="2039"/>
      <c r="AF91" s="2047"/>
    </row>
    <row r="92" spans="1:32" ht="19.5" customHeight="1">
      <c r="A92" s="1810" t="s">
        <v>8</v>
      </c>
      <c r="B92" s="3305" t="s">
        <v>325</v>
      </c>
      <c r="C92" s="3305"/>
      <c r="D92" s="3305"/>
      <c r="E92" s="3305"/>
      <c r="F92" s="3306"/>
      <c r="G92" s="3049"/>
      <c r="H92" s="3050" t="s">
        <v>58</v>
      </c>
      <c r="I92" s="3190"/>
      <c r="J92" s="3224" t="s">
        <v>59</v>
      </c>
      <c r="K92" s="3311"/>
      <c r="L92" s="3300" t="s">
        <v>60</v>
      </c>
      <c r="M92" s="3301"/>
      <c r="Z92"/>
      <c r="AA92"/>
      <c r="AB92"/>
      <c r="AC92"/>
      <c r="AD92"/>
      <c r="AE92"/>
    </row>
    <row r="93" spans="1:32" ht="12" customHeight="1">
      <c r="A93" s="1829"/>
      <c r="B93" s="3307" t="s">
        <v>263</v>
      </c>
      <c r="C93" s="3308"/>
      <c r="D93" s="3309"/>
      <c r="E93" s="3309"/>
      <c r="F93" s="3310"/>
      <c r="G93" s="1927" t="s">
        <v>16</v>
      </c>
      <c r="H93" s="3137">
        <v>6</v>
      </c>
      <c r="I93" s="3240"/>
      <c r="J93" s="3137">
        <v>2</v>
      </c>
      <c r="K93" s="3240"/>
      <c r="L93" s="3137">
        <v>2</v>
      </c>
      <c r="M93" s="3138"/>
      <c r="AB93"/>
      <c r="AC93"/>
      <c r="AD93"/>
      <c r="AE93"/>
    </row>
    <row r="94" spans="1:32" ht="12" customHeight="1">
      <c r="A94" s="1829"/>
      <c r="B94" s="3232" t="s">
        <v>61</v>
      </c>
      <c r="C94" s="3233"/>
      <c r="D94" s="3234"/>
      <c r="E94" s="3234"/>
      <c r="F94" s="3235"/>
      <c r="G94" s="1933" t="s">
        <v>17</v>
      </c>
      <c r="H94" s="3139">
        <v>5</v>
      </c>
      <c r="I94" s="3140"/>
      <c r="J94" s="3139">
        <v>1.5</v>
      </c>
      <c r="K94" s="3140"/>
      <c r="L94" s="3139">
        <v>1.5</v>
      </c>
      <c r="M94" s="3193"/>
      <c r="AB94"/>
      <c r="AC94"/>
      <c r="AD94"/>
      <c r="AE94"/>
    </row>
    <row r="95" spans="1:32" ht="12" customHeight="1">
      <c r="A95" s="1829"/>
      <c r="B95" s="3232" t="s">
        <v>62</v>
      </c>
      <c r="C95" s="3233"/>
      <c r="D95" s="3234"/>
      <c r="E95" s="3234"/>
      <c r="F95" s="3235"/>
      <c r="G95" s="2048" t="s">
        <v>20</v>
      </c>
      <c r="H95" s="3188">
        <v>3</v>
      </c>
      <c r="I95" s="3189"/>
      <c r="J95" s="3188">
        <v>1.25</v>
      </c>
      <c r="K95" s="3189"/>
      <c r="L95" s="3188">
        <v>1.25</v>
      </c>
      <c r="M95" s="3115"/>
      <c r="AB95"/>
      <c r="AC95"/>
      <c r="AD95"/>
      <c r="AE95"/>
    </row>
    <row r="96" spans="1:32" ht="12" customHeight="1">
      <c r="A96" s="1829"/>
      <c r="B96" s="3232" t="s">
        <v>63</v>
      </c>
      <c r="C96" s="3233"/>
      <c r="D96" s="3234"/>
      <c r="E96" s="3234"/>
      <c r="F96" s="3235"/>
      <c r="G96" s="1933" t="s">
        <v>22</v>
      </c>
      <c r="H96" s="3139">
        <v>1</v>
      </c>
      <c r="I96" s="3140"/>
      <c r="J96" s="3139">
        <v>1</v>
      </c>
      <c r="K96" s="3140"/>
      <c r="L96" s="3139">
        <v>1</v>
      </c>
      <c r="M96" s="3193"/>
    </row>
    <row r="97" spans="1:15" ht="12" customHeight="1">
      <c r="A97" s="68"/>
      <c r="B97" s="3232" t="s">
        <v>64</v>
      </c>
      <c r="C97" s="3233"/>
      <c r="D97" s="3234"/>
      <c r="E97" s="3234"/>
      <c r="F97" s="3235"/>
      <c r="G97" s="1933" t="s">
        <v>24</v>
      </c>
      <c r="H97" s="3139">
        <v>0</v>
      </c>
      <c r="I97" s="3140"/>
      <c r="J97" s="3139">
        <v>0.75</v>
      </c>
      <c r="K97" s="3140"/>
      <c r="L97" s="3139">
        <v>0.75</v>
      </c>
      <c r="M97" s="3193"/>
    </row>
    <row r="98" spans="1:15" ht="12" customHeight="1">
      <c r="A98" s="1829"/>
      <c r="B98" s="3232" t="s">
        <v>65</v>
      </c>
      <c r="C98" s="3233"/>
      <c r="D98" s="3234"/>
      <c r="E98" s="3234"/>
      <c r="F98" s="3235"/>
      <c r="G98" s="2049" t="s">
        <v>26</v>
      </c>
      <c r="H98" s="3139">
        <v>0</v>
      </c>
      <c r="I98" s="3140"/>
      <c r="J98" s="3139">
        <v>0.5</v>
      </c>
      <c r="K98" s="3140"/>
      <c r="L98" s="3139">
        <v>0.5</v>
      </c>
      <c r="M98" s="3193"/>
    </row>
    <row r="99" spans="1:15" ht="12" customHeight="1" thickBot="1">
      <c r="A99" s="2050"/>
      <c r="B99" s="73" t="s">
        <v>262</v>
      </c>
      <c r="C99" s="73"/>
      <c r="D99" s="73"/>
      <c r="E99" s="73"/>
      <c r="F99" s="2051"/>
      <c r="G99" s="2052" t="s">
        <v>28</v>
      </c>
      <c r="H99" s="3290">
        <v>0</v>
      </c>
      <c r="I99" s="3291"/>
      <c r="J99" s="3290">
        <v>1</v>
      </c>
      <c r="K99" s="3291"/>
      <c r="L99" s="3290">
        <v>1</v>
      </c>
      <c r="M99" s="3438"/>
    </row>
    <row r="100" spans="1:15" ht="12" customHeight="1" thickTop="1">
      <c r="A100" s="1883" t="s">
        <v>9</v>
      </c>
      <c r="B100" s="3246" t="s">
        <v>234</v>
      </c>
      <c r="C100" s="3246"/>
      <c r="D100" s="3246"/>
      <c r="E100" s="3246"/>
      <c r="F100" s="3247"/>
      <c r="G100" s="1885"/>
      <c r="H100" s="3159" t="s">
        <v>56</v>
      </c>
      <c r="I100" s="3248"/>
      <c r="J100" s="3219" t="s">
        <v>66</v>
      </c>
      <c r="K100" s="3287"/>
      <c r="L100" s="3219" t="s">
        <v>67</v>
      </c>
      <c r="M100" s="3220"/>
    </row>
    <row r="101" spans="1:15" ht="12" customHeight="1">
      <c r="A101" s="1829"/>
      <c r="B101" s="3307" t="s">
        <v>207</v>
      </c>
      <c r="C101" s="3308"/>
      <c r="D101" s="3309"/>
      <c r="E101" s="3309"/>
      <c r="F101" s="3310"/>
      <c r="G101" s="1892" t="s">
        <v>16</v>
      </c>
      <c r="H101" s="3165" t="s">
        <v>232</v>
      </c>
      <c r="I101" s="3452"/>
      <c r="J101" s="3286">
        <v>4</v>
      </c>
      <c r="K101" s="3240"/>
      <c r="L101" s="3137">
        <v>4</v>
      </c>
      <c r="M101" s="3138"/>
    </row>
    <row r="102" spans="1:15" ht="12" customHeight="1">
      <c r="A102" s="1829"/>
      <c r="B102" s="3232" t="s">
        <v>68</v>
      </c>
      <c r="C102" s="3233"/>
      <c r="D102" s="3234"/>
      <c r="E102" s="3234"/>
      <c r="F102" s="3235"/>
      <c r="G102" s="1872" t="s">
        <v>17</v>
      </c>
      <c r="H102" s="3166"/>
      <c r="I102" s="3453"/>
      <c r="J102" s="3285">
        <v>2.5</v>
      </c>
      <c r="K102" s="3140"/>
      <c r="L102" s="3139">
        <v>2.5</v>
      </c>
      <c r="M102" s="3193"/>
    </row>
    <row r="103" spans="1:15" ht="12" customHeight="1">
      <c r="A103" s="1829"/>
      <c r="B103" s="3232" t="s">
        <v>69</v>
      </c>
      <c r="C103" s="3233"/>
      <c r="D103" s="3234"/>
      <c r="E103" s="3234"/>
      <c r="F103" s="3235"/>
      <c r="G103" s="1872" t="s">
        <v>20</v>
      </c>
      <c r="H103" s="3166"/>
      <c r="I103" s="3453"/>
      <c r="J103" s="3285">
        <v>2</v>
      </c>
      <c r="K103" s="3140"/>
      <c r="L103" s="3139">
        <v>2</v>
      </c>
      <c r="M103" s="3193"/>
    </row>
    <row r="104" spans="1:15" ht="12" customHeight="1">
      <c r="A104" s="68"/>
      <c r="B104" s="3232" t="s">
        <v>70</v>
      </c>
      <c r="C104" s="3233"/>
      <c r="D104" s="3234"/>
      <c r="E104" s="3234"/>
      <c r="F104" s="3235"/>
      <c r="G104" s="2053" t="s">
        <v>22</v>
      </c>
      <c r="H104" s="3166"/>
      <c r="I104" s="3453"/>
      <c r="J104" s="3589">
        <v>1.4</v>
      </c>
      <c r="K104" s="3189"/>
      <c r="L104" s="3188">
        <v>1.4</v>
      </c>
      <c r="M104" s="3115"/>
    </row>
    <row r="105" spans="1:15" ht="12" customHeight="1">
      <c r="A105" s="1829"/>
      <c r="B105" s="3242" t="s">
        <v>71</v>
      </c>
      <c r="C105" s="3243"/>
      <c r="D105" s="3243"/>
      <c r="E105" s="3243"/>
      <c r="F105" s="3244"/>
      <c r="G105" s="1872" t="s">
        <v>24</v>
      </c>
      <c r="H105" s="3166"/>
      <c r="I105" s="3453"/>
      <c r="J105" s="3139">
        <v>1</v>
      </c>
      <c r="K105" s="3140"/>
      <c r="L105" s="3139">
        <v>1</v>
      </c>
      <c r="M105" s="3193"/>
    </row>
    <row r="106" spans="1:15" ht="12" customHeight="1">
      <c r="A106" s="1878"/>
      <c r="B106" s="73" t="s">
        <v>262</v>
      </c>
      <c r="C106" s="73"/>
      <c r="D106" s="73"/>
      <c r="E106" s="73"/>
      <c r="F106" s="1989"/>
      <c r="G106" s="2054" t="s">
        <v>28</v>
      </c>
      <c r="H106" s="3170"/>
      <c r="I106" s="3454"/>
      <c r="J106" s="3254">
        <v>1</v>
      </c>
      <c r="K106" s="3255"/>
      <c r="L106" s="3590">
        <v>1</v>
      </c>
      <c r="M106" s="3580"/>
    </row>
    <row r="107" spans="1:15" ht="12" customHeight="1" thickBot="1">
      <c r="A107" s="2056"/>
      <c r="B107" s="3241" t="s">
        <v>219</v>
      </c>
      <c r="C107" s="3241"/>
      <c r="D107" s="2057"/>
      <c r="E107" s="2057"/>
      <c r="F107" s="3455" t="s">
        <v>264</v>
      </c>
      <c r="G107" s="3455"/>
      <c r="H107" s="3455"/>
      <c r="I107" s="3455"/>
      <c r="J107" s="3455"/>
      <c r="K107" s="3455"/>
      <c r="L107" s="3455"/>
      <c r="M107" s="3456"/>
    </row>
    <row r="108" spans="1:15" ht="12" customHeight="1" thickTop="1">
      <c r="A108" s="1883" t="s">
        <v>10</v>
      </c>
      <c r="B108" s="3459" t="s">
        <v>200</v>
      </c>
      <c r="C108" s="3459"/>
      <c r="D108" s="3459"/>
      <c r="E108" s="3459"/>
      <c r="F108" s="3460"/>
      <c r="G108" s="2000"/>
      <c r="H108" s="3238" t="s">
        <v>72</v>
      </c>
      <c r="I108" s="3239"/>
      <c r="J108" s="3238" t="s">
        <v>73</v>
      </c>
      <c r="K108" s="3239"/>
      <c r="L108" s="3238" t="s">
        <v>74</v>
      </c>
      <c r="M108" s="3258"/>
      <c r="N108" s="2058"/>
    </row>
    <row r="109" spans="1:15" ht="12" customHeight="1">
      <c r="A109" s="3450" t="s">
        <v>921</v>
      </c>
      <c r="B109" s="3226" t="s">
        <v>75</v>
      </c>
      <c r="C109" s="3227"/>
      <c r="D109" s="3457"/>
      <c r="E109" s="3457"/>
      <c r="F109" s="3458"/>
      <c r="G109" s="1826" t="s">
        <v>16</v>
      </c>
      <c r="H109" s="3137">
        <v>6</v>
      </c>
      <c r="I109" s="3240"/>
      <c r="J109" s="3259">
        <v>0.75</v>
      </c>
      <c r="K109" s="3260"/>
      <c r="L109" s="3259">
        <v>0.75</v>
      </c>
      <c r="M109" s="3461"/>
      <c r="N109" s="2060"/>
    </row>
    <row r="110" spans="1:15" ht="12" customHeight="1">
      <c r="A110" s="3451"/>
      <c r="B110" s="3228" t="s">
        <v>775</v>
      </c>
      <c r="C110" s="3185"/>
      <c r="D110" s="3186"/>
      <c r="E110" s="3186"/>
      <c r="F110" s="3187"/>
      <c r="G110" s="1980" t="s">
        <v>17</v>
      </c>
      <c r="H110" s="3188">
        <v>6</v>
      </c>
      <c r="I110" s="3189"/>
      <c r="J110" s="3188">
        <v>1</v>
      </c>
      <c r="K110" s="3189"/>
      <c r="L110" s="3188">
        <v>1</v>
      </c>
      <c r="M110" s="3115"/>
      <c r="N110" s="2060"/>
    </row>
    <row r="111" spans="1:15" ht="12" customHeight="1">
      <c r="A111" s="3451"/>
      <c r="B111" s="3228" t="s">
        <v>776</v>
      </c>
      <c r="C111" s="3185"/>
      <c r="D111" s="3186"/>
      <c r="E111" s="3186"/>
      <c r="F111" s="3187"/>
      <c r="G111" s="1830" t="s">
        <v>20</v>
      </c>
      <c r="H111" s="3139">
        <v>5</v>
      </c>
      <c r="I111" s="3140"/>
      <c r="J111" s="3139">
        <v>2</v>
      </c>
      <c r="K111" s="3140"/>
      <c r="L111" s="3139">
        <v>2</v>
      </c>
      <c r="M111" s="3193"/>
      <c r="N111" s="2060"/>
    </row>
    <row r="112" spans="1:15" ht="12" customHeight="1">
      <c r="A112" s="3451"/>
      <c r="B112" s="3228" t="s">
        <v>777</v>
      </c>
      <c r="C112" s="3185"/>
      <c r="D112" s="3186"/>
      <c r="E112" s="3186"/>
      <c r="F112" s="3187"/>
      <c r="G112" s="1830" t="s">
        <v>22</v>
      </c>
      <c r="H112" s="3139">
        <v>3</v>
      </c>
      <c r="I112" s="3140"/>
      <c r="J112" s="3139">
        <v>4</v>
      </c>
      <c r="K112" s="3140"/>
      <c r="L112" s="3139">
        <v>4</v>
      </c>
      <c r="M112" s="3193"/>
      <c r="N112" s="2060"/>
      <c r="O112" s="1905"/>
    </row>
    <row r="113" spans="1:28" ht="12" customHeight="1">
      <c r="A113" s="3451"/>
      <c r="B113" s="3228" t="s">
        <v>936</v>
      </c>
      <c r="C113" s="3185"/>
      <c r="D113" s="3186"/>
      <c r="E113" s="3186"/>
      <c r="F113" s="3187"/>
      <c r="G113" s="1830" t="s">
        <v>24</v>
      </c>
      <c r="H113" s="3139">
        <v>1</v>
      </c>
      <c r="I113" s="3140"/>
      <c r="J113" s="3139">
        <v>3</v>
      </c>
      <c r="K113" s="3140"/>
      <c r="L113" s="3139">
        <v>3</v>
      </c>
      <c r="M113" s="3193"/>
      <c r="N113" s="2062"/>
      <c r="O113" s="3610" t="s">
        <v>216</v>
      </c>
      <c r="P113" s="3610"/>
      <c r="Q113" s="3610"/>
      <c r="R113" s="3611"/>
      <c r="S113" s="74"/>
      <c r="T113" s="74"/>
    </row>
    <row r="114" spans="1:28" ht="12" customHeight="1">
      <c r="A114" s="3451"/>
      <c r="B114" s="3462" t="s">
        <v>256</v>
      </c>
      <c r="C114" s="3185"/>
      <c r="D114" s="3186"/>
      <c r="E114" s="3186"/>
      <c r="F114" s="3187"/>
      <c r="G114" s="2063" t="s">
        <v>26</v>
      </c>
      <c r="H114" s="3236">
        <v>0</v>
      </c>
      <c r="I114" s="3237"/>
      <c r="J114" s="3236">
        <v>4</v>
      </c>
      <c r="K114" s="3237"/>
      <c r="L114" s="3236">
        <v>4</v>
      </c>
      <c r="M114" s="3245"/>
      <c r="N114" s="2062"/>
      <c r="O114" s="3612"/>
      <c r="P114" s="3612"/>
      <c r="Q114" s="3612"/>
      <c r="R114" s="3613"/>
      <c r="S114" s="74"/>
      <c r="T114" s="74"/>
    </row>
    <row r="115" spans="1:28" ht="9" customHeight="1">
      <c r="A115" s="2064"/>
      <c r="B115" s="3468" t="s">
        <v>192</v>
      </c>
      <c r="C115" s="3469"/>
      <c r="D115" s="2065"/>
      <c r="E115" s="2065"/>
      <c r="F115" s="2066"/>
      <c r="G115" s="2067"/>
      <c r="H115" s="3288" t="s">
        <v>76</v>
      </c>
      <c r="I115" s="3289"/>
      <c r="J115" s="3463" t="s">
        <v>223</v>
      </c>
      <c r="K115" s="3256" t="s">
        <v>224</v>
      </c>
      <c r="L115" s="3302" t="s">
        <v>74</v>
      </c>
      <c r="M115" s="3303"/>
      <c r="N115" s="1856"/>
      <c r="O115" s="3606" t="s">
        <v>261</v>
      </c>
      <c r="P115" s="3617"/>
      <c r="Q115" s="3606" t="s">
        <v>1242</v>
      </c>
      <c r="R115" s="3607"/>
      <c r="S115" s="2068"/>
      <c r="T115" s="2068"/>
    </row>
    <row r="116" spans="1:28" ht="8.25" customHeight="1">
      <c r="A116" s="2069"/>
      <c r="B116" s="3470"/>
      <c r="C116" s="3471"/>
      <c r="D116" s="3473" t="s">
        <v>191</v>
      </c>
      <c r="E116" s="3473"/>
      <c r="F116" s="3474"/>
      <c r="G116" s="2070"/>
      <c r="H116" s="2071" t="s">
        <v>182</v>
      </c>
      <c r="I116" s="2072" t="s">
        <v>183</v>
      </c>
      <c r="J116" s="3464"/>
      <c r="K116" s="3257"/>
      <c r="L116" s="2306" t="s">
        <v>265</v>
      </c>
      <c r="M116" s="2307" t="s">
        <v>266</v>
      </c>
      <c r="N116" s="2073"/>
      <c r="O116" s="3608"/>
      <c r="P116" s="3618"/>
      <c r="Q116" s="3608"/>
      <c r="R116" s="3609"/>
      <c r="S116" s="2068"/>
      <c r="T116" s="2068"/>
      <c r="AB116" s="1858"/>
    </row>
    <row r="117" spans="1:28" ht="12" customHeight="1">
      <c r="A117" s="2074"/>
      <c r="B117" s="3228" t="s">
        <v>78</v>
      </c>
      <c r="C117" s="3185"/>
      <c r="D117" s="3186"/>
      <c r="E117" s="3186"/>
      <c r="F117" s="3187"/>
      <c r="G117" s="1830" t="s">
        <v>187</v>
      </c>
      <c r="H117" s="190">
        <v>5</v>
      </c>
      <c r="I117" s="191">
        <v>2</v>
      </c>
      <c r="J117" s="179">
        <v>4</v>
      </c>
      <c r="K117" s="192">
        <v>7</v>
      </c>
      <c r="L117" s="179">
        <v>4</v>
      </c>
      <c r="M117" s="193">
        <v>7</v>
      </c>
      <c r="N117" s="2075" t="s">
        <v>604</v>
      </c>
      <c r="O117" s="3581">
        <v>4</v>
      </c>
      <c r="P117" s="3582"/>
      <c r="Q117" s="3581" t="s">
        <v>1028</v>
      </c>
      <c r="R117" s="3615"/>
      <c r="S117" s="2076"/>
      <c r="T117" s="2076"/>
      <c r="U117" s="3110"/>
      <c r="V117" s="3110"/>
      <c r="W117" s="3110"/>
      <c r="X117" s="3110"/>
    </row>
    <row r="118" spans="1:28" ht="12" customHeight="1">
      <c r="A118" s="2074"/>
      <c r="B118" s="3228" t="s">
        <v>218</v>
      </c>
      <c r="C118" s="3185"/>
      <c r="D118" s="3186"/>
      <c r="E118" s="3186"/>
      <c r="F118" s="3187"/>
      <c r="G118" s="1830" t="s">
        <v>188</v>
      </c>
      <c r="H118" s="194">
        <v>4</v>
      </c>
      <c r="I118" s="192">
        <v>2</v>
      </c>
      <c r="J118" s="179">
        <v>6</v>
      </c>
      <c r="K118" s="192">
        <v>8</v>
      </c>
      <c r="L118" s="179">
        <v>6</v>
      </c>
      <c r="M118" s="193">
        <v>8</v>
      </c>
      <c r="N118" s="2075" t="s">
        <v>604</v>
      </c>
      <c r="O118" s="3583">
        <v>6</v>
      </c>
      <c r="P118" s="3614"/>
      <c r="Q118" s="3583" t="s">
        <v>165</v>
      </c>
      <c r="R118" s="3584"/>
      <c r="S118" s="2076"/>
      <c r="T118" s="2076"/>
      <c r="U118" s="3110"/>
      <c r="V118" s="3110"/>
      <c r="W118" s="3110"/>
      <c r="X118" s="3110"/>
    </row>
    <row r="119" spans="1:28" ht="12" customHeight="1">
      <c r="A119" s="2074"/>
      <c r="B119" s="3228" t="s">
        <v>226</v>
      </c>
      <c r="C119" s="3185"/>
      <c r="D119" s="3186"/>
      <c r="E119" s="3186"/>
      <c r="F119" s="3187"/>
      <c r="G119" s="1830" t="s">
        <v>189</v>
      </c>
      <c r="H119" s="194">
        <v>2</v>
      </c>
      <c r="I119" s="192">
        <v>0</v>
      </c>
      <c r="J119" s="179">
        <v>8</v>
      </c>
      <c r="K119" s="192">
        <v>12</v>
      </c>
      <c r="L119" s="179">
        <v>8</v>
      </c>
      <c r="M119" s="193">
        <v>12</v>
      </c>
      <c r="N119" s="2075" t="s">
        <v>604</v>
      </c>
      <c r="O119" s="3583">
        <v>8</v>
      </c>
      <c r="P119" s="3614"/>
      <c r="Q119" s="3583">
        <v>12</v>
      </c>
      <c r="R119" s="3584"/>
      <c r="S119" s="2076"/>
      <c r="T119" s="2076"/>
      <c r="U119" s="3616"/>
      <c r="V119" s="3616"/>
      <c r="W119" s="3616"/>
      <c r="X119" s="3616"/>
    </row>
    <row r="120" spans="1:28" ht="12" customHeight="1">
      <c r="A120" s="2077"/>
      <c r="B120" s="3465" t="s">
        <v>79</v>
      </c>
      <c r="C120" s="3466"/>
      <c r="D120" s="3342"/>
      <c r="E120" s="3342"/>
      <c r="F120" s="3467"/>
      <c r="G120" s="2078" t="s">
        <v>190</v>
      </c>
      <c r="H120" s="195">
        <v>0</v>
      </c>
      <c r="I120" s="196">
        <v>0</v>
      </c>
      <c r="J120" s="197">
        <v>10</v>
      </c>
      <c r="K120" s="198">
        <v>18</v>
      </c>
      <c r="L120" s="197">
        <v>10</v>
      </c>
      <c r="M120" s="199">
        <v>18</v>
      </c>
      <c r="N120" s="2075" t="s">
        <v>604</v>
      </c>
      <c r="O120" s="3105" t="s">
        <v>166</v>
      </c>
      <c r="P120" s="3106"/>
      <c r="Q120" s="3105" t="s">
        <v>167</v>
      </c>
      <c r="R120" s="3586"/>
      <c r="S120" s="2076"/>
      <c r="T120" s="2076"/>
      <c r="U120" s="3110"/>
      <c r="V120" s="3110"/>
      <c r="W120" s="3110"/>
      <c r="X120" s="3110"/>
    </row>
    <row r="121" spans="1:28" ht="12.75" customHeight="1">
      <c r="A121" s="2079"/>
      <c r="B121" s="3215" t="s">
        <v>308</v>
      </c>
      <c r="C121" s="3216"/>
      <c r="D121" s="3216"/>
      <c r="E121" s="3216"/>
      <c r="F121" s="3216"/>
      <c r="G121" s="3216"/>
      <c r="H121" s="3216"/>
      <c r="I121" s="3216"/>
      <c r="J121" s="3216"/>
      <c r="K121" s="3216"/>
      <c r="L121" s="3216"/>
      <c r="M121" s="3217"/>
      <c r="N121" s="2080"/>
      <c r="O121" s="1859"/>
    </row>
    <row r="122" spans="1:28" ht="12" customHeight="1" thickBot="1">
      <c r="A122" s="2081"/>
      <c r="B122" s="3221" t="s">
        <v>193</v>
      </c>
      <c r="C122" s="3221"/>
      <c r="D122" s="3221"/>
      <c r="E122" s="3221"/>
      <c r="F122" s="3221"/>
      <c r="G122" s="3221"/>
      <c r="H122" s="3221"/>
      <c r="I122" s="3221"/>
      <c r="J122" s="3221"/>
      <c r="K122" s="3221"/>
      <c r="L122" s="3221"/>
      <c r="M122" s="3222"/>
      <c r="N122" s="1835"/>
    </row>
    <row r="123" spans="1:28" ht="12" customHeight="1" thickTop="1">
      <c r="A123" s="1883" t="s">
        <v>198</v>
      </c>
      <c r="B123" s="3292" t="s">
        <v>195</v>
      </c>
      <c r="C123" s="3292"/>
      <c r="D123" s="3292"/>
      <c r="E123" s="3292"/>
      <c r="F123" s="3293"/>
      <c r="G123" s="2082"/>
      <c r="H123" s="3224" t="s">
        <v>80</v>
      </c>
      <c r="I123" s="3225"/>
      <c r="J123" s="3223" t="s">
        <v>56</v>
      </c>
      <c r="K123" s="3160"/>
      <c r="L123" s="3225" t="s">
        <v>81</v>
      </c>
      <c r="M123" s="3429"/>
    </row>
    <row r="124" spans="1:28" ht="12" customHeight="1">
      <c r="A124" s="1864"/>
      <c r="B124" s="3226" t="s">
        <v>309</v>
      </c>
      <c r="C124" s="3227"/>
      <c r="D124" s="3229" t="s">
        <v>178</v>
      </c>
      <c r="E124" s="3230"/>
      <c r="F124" s="3231"/>
      <c r="G124" s="2085" t="s">
        <v>16</v>
      </c>
      <c r="H124" s="3137">
        <v>8</v>
      </c>
      <c r="I124" s="3164"/>
      <c r="J124" s="3141" t="s">
        <v>232</v>
      </c>
      <c r="K124" s="3142"/>
      <c r="L124" s="3147">
        <v>5</v>
      </c>
      <c r="M124" s="3138"/>
    </row>
    <row r="125" spans="1:28" ht="12" customHeight="1">
      <c r="A125" s="1829"/>
      <c r="B125" s="3228" t="s">
        <v>82</v>
      </c>
      <c r="C125" s="3185"/>
      <c r="D125" s="3249" t="s">
        <v>83</v>
      </c>
      <c r="E125" s="3250"/>
      <c r="F125" s="3251"/>
      <c r="G125" s="1830" t="s">
        <v>17</v>
      </c>
      <c r="H125" s="3139">
        <v>6</v>
      </c>
      <c r="I125" s="3161"/>
      <c r="J125" s="3143"/>
      <c r="K125" s="3144"/>
      <c r="L125" s="3169">
        <v>3</v>
      </c>
      <c r="M125" s="3193"/>
    </row>
    <row r="126" spans="1:28" ht="12" customHeight="1">
      <c r="A126" s="1829"/>
      <c r="B126" s="3228" t="s">
        <v>84</v>
      </c>
      <c r="C126" s="3185"/>
      <c r="D126" s="3249" t="s">
        <v>85</v>
      </c>
      <c r="E126" s="3250"/>
      <c r="F126" s="3251"/>
      <c r="G126" s="1830" t="s">
        <v>20</v>
      </c>
      <c r="H126" s="3139"/>
      <c r="I126" s="3161"/>
      <c r="J126" s="3143"/>
      <c r="K126" s="3144"/>
      <c r="L126" s="3169">
        <v>2</v>
      </c>
      <c r="M126" s="3193"/>
    </row>
    <row r="127" spans="1:28" ht="12" customHeight="1">
      <c r="A127" s="1829"/>
      <c r="B127" s="3228" t="s">
        <v>86</v>
      </c>
      <c r="C127" s="3185"/>
      <c r="D127" s="3249" t="s">
        <v>87</v>
      </c>
      <c r="E127" s="3250"/>
      <c r="F127" s="3251"/>
      <c r="G127" s="1830" t="s">
        <v>22</v>
      </c>
      <c r="H127" s="3139">
        <v>4</v>
      </c>
      <c r="I127" s="3161"/>
      <c r="J127" s="3143"/>
      <c r="K127" s="3144"/>
      <c r="L127" s="3169">
        <v>1.5</v>
      </c>
      <c r="M127" s="3193"/>
    </row>
    <row r="128" spans="1:28" ht="12" customHeight="1">
      <c r="A128" s="1829"/>
      <c r="B128" s="3228" t="s">
        <v>88</v>
      </c>
      <c r="C128" s="3185"/>
      <c r="D128" s="3249" t="s">
        <v>89</v>
      </c>
      <c r="E128" s="3250"/>
      <c r="F128" s="3251"/>
      <c r="G128" s="1980" t="s">
        <v>24</v>
      </c>
      <c r="H128" s="3188">
        <v>2</v>
      </c>
      <c r="I128" s="3196"/>
      <c r="J128" s="3143"/>
      <c r="K128" s="3144"/>
      <c r="L128" s="3114">
        <v>1</v>
      </c>
      <c r="M128" s="3115"/>
    </row>
    <row r="129" spans="1:21" ht="12" customHeight="1">
      <c r="A129" s="68"/>
      <c r="B129" s="3228" t="s">
        <v>90</v>
      </c>
      <c r="C129" s="3185"/>
      <c r="D129" s="3249" t="s">
        <v>310</v>
      </c>
      <c r="E129" s="3250"/>
      <c r="F129" s="3251"/>
      <c r="G129" s="1830" t="s">
        <v>26</v>
      </c>
      <c r="H129" s="3139">
        <v>1</v>
      </c>
      <c r="I129" s="3161"/>
      <c r="J129" s="3143"/>
      <c r="K129" s="3144"/>
      <c r="L129" s="3169">
        <v>0.75</v>
      </c>
      <c r="M129" s="3193"/>
    </row>
    <row r="130" spans="1:21" ht="12" customHeight="1">
      <c r="A130" s="1878"/>
      <c r="B130" s="3252" t="s">
        <v>312</v>
      </c>
      <c r="C130" s="3253"/>
      <c r="D130" s="3264" t="s">
        <v>311</v>
      </c>
      <c r="E130" s="3265"/>
      <c r="F130" s="3266"/>
      <c r="G130" s="2078" t="s">
        <v>28</v>
      </c>
      <c r="H130" s="3236">
        <v>0</v>
      </c>
      <c r="I130" s="3263"/>
      <c r="J130" s="3341"/>
      <c r="K130" s="3171"/>
      <c r="L130" s="3157">
        <v>0.5</v>
      </c>
      <c r="M130" s="3580"/>
    </row>
    <row r="131" spans="1:21" ht="18" customHeight="1" thickBot="1">
      <c r="A131" s="3267" t="s">
        <v>313</v>
      </c>
      <c r="B131" s="3268"/>
      <c r="C131" s="3268"/>
      <c r="D131" s="3268"/>
      <c r="E131" s="3268"/>
      <c r="F131" s="3268"/>
      <c r="G131" s="3268"/>
      <c r="H131" s="3268"/>
      <c r="I131" s="3268"/>
      <c r="J131" s="3268"/>
      <c r="K131" s="3268"/>
      <c r="L131" s="3268"/>
      <c r="M131" s="3269"/>
    </row>
    <row r="132" spans="1:21" ht="12" customHeight="1" thickTop="1">
      <c r="A132" s="1883" t="s">
        <v>199</v>
      </c>
      <c r="B132" s="3246" t="s">
        <v>460</v>
      </c>
      <c r="C132" s="3246"/>
      <c r="D132" s="1884"/>
      <c r="E132" s="1884"/>
      <c r="F132" s="2091"/>
      <c r="G132" s="2092"/>
      <c r="H132" s="3300" t="s">
        <v>91</v>
      </c>
      <c r="I132" s="3304"/>
      <c r="J132" s="3339" t="s">
        <v>56</v>
      </c>
      <c r="K132" s="3340"/>
      <c r="L132" s="3270" t="s">
        <v>56</v>
      </c>
      <c r="M132" s="3271"/>
      <c r="O132" s="2093"/>
    </row>
    <row r="133" spans="1:21" ht="12" customHeight="1">
      <c r="A133" s="1864"/>
      <c r="B133" s="1924" t="s">
        <v>315</v>
      </c>
      <c r="C133" s="2094" t="s">
        <v>225</v>
      </c>
      <c r="D133" s="2095"/>
      <c r="E133" s="2095"/>
      <c r="F133" s="2096"/>
      <c r="G133" s="1868" t="s">
        <v>16</v>
      </c>
      <c r="H133" s="3137">
        <v>6</v>
      </c>
      <c r="I133" s="3164"/>
      <c r="J133" s="3294" t="s">
        <v>232</v>
      </c>
      <c r="K133" s="3295"/>
      <c r="L133" s="3141" t="s">
        <v>242</v>
      </c>
      <c r="M133" s="3273"/>
    </row>
    <row r="134" spans="1:21" ht="12" customHeight="1">
      <c r="A134" s="1829"/>
      <c r="B134" s="1929" t="s">
        <v>92</v>
      </c>
      <c r="C134" s="2097" t="s">
        <v>93</v>
      </c>
      <c r="D134" s="2098"/>
      <c r="E134" s="2098"/>
      <c r="F134" s="2099"/>
      <c r="G134" s="1834" t="s">
        <v>17</v>
      </c>
      <c r="H134" s="3139">
        <v>5</v>
      </c>
      <c r="I134" s="3161"/>
      <c r="J134" s="3296"/>
      <c r="K134" s="3297"/>
      <c r="L134" s="3143"/>
      <c r="M134" s="3274"/>
    </row>
    <row r="135" spans="1:21" ht="12" customHeight="1">
      <c r="A135" s="1829"/>
      <c r="B135" s="1929" t="s">
        <v>94</v>
      </c>
      <c r="C135" s="2097" t="s">
        <v>320</v>
      </c>
      <c r="D135" s="2098"/>
      <c r="E135" s="2098"/>
      <c r="F135" s="2099"/>
      <c r="G135" s="2100" t="s">
        <v>20</v>
      </c>
      <c r="H135" s="3188">
        <v>4</v>
      </c>
      <c r="I135" s="3196"/>
      <c r="J135" s="3296"/>
      <c r="K135" s="3297"/>
      <c r="L135" s="3143"/>
      <c r="M135" s="3274"/>
    </row>
    <row r="136" spans="1:21" ht="12" customHeight="1">
      <c r="A136" s="68"/>
      <c r="B136" s="1929" t="s">
        <v>323</v>
      </c>
      <c r="C136" s="2097" t="s">
        <v>321</v>
      </c>
      <c r="D136" s="2098"/>
      <c r="E136" s="2098"/>
      <c r="F136" s="2099"/>
      <c r="G136" s="1839" t="s">
        <v>22</v>
      </c>
      <c r="H136" s="3139">
        <v>1</v>
      </c>
      <c r="I136" s="3161"/>
      <c r="J136" s="3296"/>
      <c r="K136" s="3297"/>
      <c r="L136" s="3143"/>
      <c r="M136" s="3274"/>
    </row>
    <row r="137" spans="1:21" ht="12" customHeight="1" thickBot="1">
      <c r="A137" s="1840"/>
      <c r="B137" s="2101" t="s">
        <v>95</v>
      </c>
      <c r="C137" s="2102" t="s">
        <v>322</v>
      </c>
      <c r="D137" s="2103"/>
      <c r="E137" s="2103"/>
      <c r="F137" s="2104"/>
      <c r="G137" s="1844" t="s">
        <v>24</v>
      </c>
      <c r="H137" s="3162">
        <v>0</v>
      </c>
      <c r="I137" s="3163"/>
      <c r="J137" s="3298"/>
      <c r="K137" s="3299"/>
      <c r="L137" s="3145"/>
      <c r="M137" s="3275"/>
    </row>
    <row r="138" spans="1:21" ht="12" customHeight="1" thickBot="1">
      <c r="A138" s="1803"/>
      <c r="B138" s="73"/>
      <c r="C138" s="73"/>
      <c r="D138" s="73"/>
      <c r="E138" s="73"/>
      <c r="F138" s="2105"/>
      <c r="G138" s="1912"/>
      <c r="H138" s="1869"/>
      <c r="I138" s="1869"/>
      <c r="J138" s="2105"/>
      <c r="K138" s="2105"/>
      <c r="L138" s="2105"/>
      <c r="M138" s="2105"/>
    </row>
    <row r="139" spans="1:21" ht="12" customHeight="1">
      <c r="A139" s="1806" t="s">
        <v>1094</v>
      </c>
      <c r="B139" s="3177" t="s">
        <v>1099</v>
      </c>
      <c r="C139" s="3177"/>
      <c r="D139" s="3177"/>
      <c r="E139" s="3177"/>
      <c r="F139" s="3178"/>
      <c r="G139" s="3048" t="s">
        <v>259</v>
      </c>
      <c r="H139" s="3198" t="s">
        <v>410</v>
      </c>
      <c r="I139" s="3199"/>
      <c r="J139" s="3213" t="s">
        <v>0</v>
      </c>
      <c r="K139" s="3199"/>
      <c r="L139" s="3213" t="s">
        <v>1</v>
      </c>
      <c r="M139" s="3214"/>
      <c r="O139" s="1905"/>
    </row>
    <row r="140" spans="1:21" ht="12" customHeight="1">
      <c r="A140" s="1810"/>
      <c r="B140" s="3472" t="s">
        <v>286</v>
      </c>
      <c r="C140" s="3472"/>
      <c r="D140" s="3475" t="s">
        <v>433</v>
      </c>
      <c r="E140" s="3475"/>
      <c r="F140" s="3190"/>
      <c r="G140" s="3049"/>
      <c r="H140" s="3050" t="s">
        <v>102</v>
      </c>
      <c r="I140" s="3051"/>
      <c r="J140" s="3052" t="s">
        <v>103</v>
      </c>
      <c r="K140" s="3051"/>
      <c r="L140" s="3052" t="s">
        <v>104</v>
      </c>
      <c r="M140" s="3272"/>
      <c r="N140" s="1966"/>
      <c r="O140" s="3103" t="s">
        <v>201</v>
      </c>
      <c r="P140" s="3103"/>
      <c r="Q140" s="3103"/>
      <c r="R140" s="3103"/>
      <c r="S140" s="3103"/>
      <c r="T140" s="3103"/>
      <c r="U140" s="3104"/>
    </row>
    <row r="141" spans="1:21" ht="12" customHeight="1">
      <c r="A141" s="1829"/>
      <c r="B141" s="1948" t="s">
        <v>462</v>
      </c>
      <c r="C141" s="1795" t="s">
        <v>278</v>
      </c>
      <c r="D141" s="3276" t="s">
        <v>230</v>
      </c>
      <c r="E141" s="3277"/>
      <c r="F141" s="3278"/>
      <c r="G141" s="2106" t="s">
        <v>16</v>
      </c>
      <c r="H141" s="3261">
        <v>15</v>
      </c>
      <c r="I141" s="3262"/>
      <c r="J141" s="3202">
        <v>1</v>
      </c>
      <c r="K141" s="3203"/>
      <c r="L141" s="3202">
        <v>1</v>
      </c>
      <c r="M141" s="3209"/>
      <c r="N141" s="2075"/>
      <c r="O141" s="3097" t="s">
        <v>227</v>
      </c>
      <c r="P141" s="3097"/>
      <c r="Q141" s="3097"/>
      <c r="R141" s="3097"/>
      <c r="S141" s="3097"/>
      <c r="T141" s="3097"/>
      <c r="U141" s="3098"/>
    </row>
    <row r="142" spans="1:21" ht="12" customHeight="1">
      <c r="A142" s="1829"/>
      <c r="B142" s="2107" t="s">
        <v>436</v>
      </c>
      <c r="C142" s="2108" t="s">
        <v>273</v>
      </c>
      <c r="D142" s="3127"/>
      <c r="E142" s="3128"/>
      <c r="F142" s="3129"/>
      <c r="G142" s="2109" t="s">
        <v>17</v>
      </c>
      <c r="H142" s="3188">
        <v>10</v>
      </c>
      <c r="I142" s="3196"/>
      <c r="J142" s="3204"/>
      <c r="K142" s="3205"/>
      <c r="L142" s="3210"/>
      <c r="M142" s="3211"/>
      <c r="N142" s="2075" t="s">
        <v>604</v>
      </c>
      <c r="O142" s="3099"/>
      <c r="P142" s="3099"/>
      <c r="Q142" s="3099"/>
      <c r="R142" s="3099"/>
      <c r="S142" s="3099"/>
      <c r="T142" s="3099"/>
      <c r="U142" s="3100"/>
    </row>
    <row r="143" spans="1:21" ht="12" customHeight="1">
      <c r="A143" s="1829"/>
      <c r="B143" s="1954" t="s">
        <v>105</v>
      </c>
      <c r="C143" s="2108" t="s">
        <v>269</v>
      </c>
      <c r="D143" s="3180" t="s">
        <v>267</v>
      </c>
      <c r="E143" s="3181"/>
      <c r="F143" s="3182"/>
      <c r="G143" s="1830" t="s">
        <v>20</v>
      </c>
      <c r="H143" s="3183">
        <v>7</v>
      </c>
      <c r="I143" s="3184"/>
      <c r="J143" s="3169">
        <v>0.66</v>
      </c>
      <c r="K143" s="3161"/>
      <c r="L143" s="3204"/>
      <c r="M143" s="3212"/>
      <c r="N143" s="2075"/>
      <c r="O143" s="3101"/>
      <c r="P143" s="3101"/>
      <c r="Q143" s="3101"/>
      <c r="R143" s="3101"/>
      <c r="S143" s="3101"/>
      <c r="T143" s="3101"/>
      <c r="U143" s="3102"/>
    </row>
    <row r="144" spans="1:21" ht="12" customHeight="1">
      <c r="A144" s="1829"/>
      <c r="B144" s="1954" t="s">
        <v>106</v>
      </c>
      <c r="C144" s="2108" t="s">
        <v>270</v>
      </c>
      <c r="D144" s="3180" t="s">
        <v>268</v>
      </c>
      <c r="E144" s="3181"/>
      <c r="F144" s="3182"/>
      <c r="G144" s="1830" t="s">
        <v>22</v>
      </c>
      <c r="H144" s="3183">
        <v>4</v>
      </c>
      <c r="I144" s="3184"/>
      <c r="J144" s="3169">
        <v>0.5</v>
      </c>
      <c r="K144" s="3161"/>
      <c r="L144" s="3167">
        <v>2.5</v>
      </c>
      <c r="M144" s="3218"/>
      <c r="N144" s="2075" t="s">
        <v>604</v>
      </c>
      <c r="O144" s="3101" t="s">
        <v>228</v>
      </c>
      <c r="P144" s="3101"/>
      <c r="Q144" s="3101"/>
      <c r="R144" s="3101"/>
      <c r="S144" s="3101"/>
      <c r="T144" s="3101"/>
      <c r="U144" s="3102"/>
    </row>
    <row r="145" spans="1:32" ht="12" customHeight="1" thickBot="1">
      <c r="A145" s="1829"/>
      <c r="B145" s="2111" t="s">
        <v>277</v>
      </c>
      <c r="C145" s="2425" t="s">
        <v>274</v>
      </c>
      <c r="D145" s="3180"/>
      <c r="E145" s="3181"/>
      <c r="F145" s="3182"/>
      <c r="G145" s="1830" t="s">
        <v>24</v>
      </c>
      <c r="H145" s="3207">
        <v>0</v>
      </c>
      <c r="I145" s="3197"/>
      <c r="J145" s="3169">
        <v>0.3</v>
      </c>
      <c r="K145" s="3161"/>
      <c r="L145" s="3169">
        <v>5</v>
      </c>
      <c r="M145" s="3193"/>
      <c r="N145" s="2075" t="s">
        <v>604</v>
      </c>
      <c r="O145" s="3094" t="s">
        <v>229</v>
      </c>
      <c r="P145" s="3094"/>
      <c r="Q145" s="3094"/>
      <c r="R145" s="3095"/>
      <c r="S145" s="3095"/>
      <c r="T145" s="3095"/>
      <c r="U145" s="3096"/>
    </row>
    <row r="146" spans="1:32" ht="12" customHeight="1" thickTop="1">
      <c r="A146" s="68"/>
      <c r="B146" s="1953" t="s">
        <v>276</v>
      </c>
      <c r="C146" s="3179"/>
      <c r="D146" s="3180" t="s">
        <v>231</v>
      </c>
      <c r="E146" s="3181"/>
      <c r="F146" s="3182"/>
      <c r="G146" s="1830" t="s">
        <v>26</v>
      </c>
      <c r="H146" s="3208"/>
      <c r="I146" s="3168"/>
      <c r="J146" s="3169">
        <v>0.15</v>
      </c>
      <c r="K146" s="3161"/>
      <c r="L146" s="2294">
        <v>5</v>
      </c>
      <c r="M146" s="3116" t="s">
        <v>988</v>
      </c>
      <c r="N146" s="2075" t="s">
        <v>604</v>
      </c>
      <c r="O146" s="2112" t="s">
        <v>272</v>
      </c>
      <c r="P146" s="3603" t="s">
        <v>298</v>
      </c>
      <c r="Q146" s="3604"/>
    </row>
    <row r="147" spans="1:32" ht="12" customHeight="1">
      <c r="A147" s="1882"/>
      <c r="B147" s="3344" t="s">
        <v>438</v>
      </c>
      <c r="C147" s="3345"/>
      <c r="D147" s="3283"/>
      <c r="E147" s="3067"/>
      <c r="F147" s="3284"/>
      <c r="G147" s="1834" t="s">
        <v>28</v>
      </c>
      <c r="H147" s="3200" t="s">
        <v>275</v>
      </c>
      <c r="I147" s="3201"/>
      <c r="J147" s="3206">
        <v>0.08</v>
      </c>
      <c r="K147" s="3206"/>
      <c r="L147" s="2295">
        <v>5</v>
      </c>
      <c r="M147" s="3117"/>
      <c r="N147" s="2075" t="s">
        <v>604</v>
      </c>
      <c r="O147" s="2114" t="s">
        <v>271</v>
      </c>
      <c r="P147" s="3605"/>
      <c r="Q147" s="3424"/>
    </row>
    <row r="148" spans="1:32" ht="12" customHeight="1" thickBot="1">
      <c r="A148" s="3174" t="s">
        <v>424</v>
      </c>
      <c r="B148" s="3175"/>
      <c r="C148" s="3175"/>
      <c r="D148" s="3175"/>
      <c r="E148" s="3175"/>
      <c r="F148" s="3175"/>
      <c r="G148" s="3175"/>
      <c r="H148" s="3175"/>
      <c r="I148" s="3175"/>
      <c r="J148" s="3175"/>
      <c r="K148" s="3175"/>
      <c r="L148" s="3175"/>
      <c r="M148" s="3176"/>
      <c r="O148" s="2115"/>
      <c r="R148" s="2116"/>
      <c r="S148" s="2116"/>
    </row>
    <row r="149" spans="1:32" ht="12" customHeight="1" thickBot="1">
      <c r="A149" s="2117"/>
      <c r="B149" s="2117"/>
      <c r="C149" s="2117"/>
      <c r="D149" s="2117"/>
      <c r="E149" s="2117"/>
      <c r="F149" s="2117"/>
      <c r="G149" s="2117"/>
      <c r="H149" s="2117"/>
      <c r="I149" s="2117"/>
      <c r="J149" s="2117"/>
      <c r="K149" s="2117"/>
      <c r="L149" s="2117"/>
      <c r="M149" s="2117"/>
      <c r="O149" s="2118"/>
      <c r="R149" s="2116"/>
      <c r="S149" s="2116"/>
    </row>
    <row r="150" spans="1:32" ht="12" customHeight="1">
      <c r="A150" s="1806" t="s">
        <v>1093</v>
      </c>
      <c r="B150" s="3177" t="s">
        <v>204</v>
      </c>
      <c r="C150" s="3177"/>
      <c r="D150" s="3177"/>
      <c r="E150" s="3177"/>
      <c r="F150" s="3178"/>
      <c r="G150" s="3048" t="s">
        <v>259</v>
      </c>
      <c r="H150" s="3198" t="s">
        <v>410</v>
      </c>
      <c r="I150" s="3199"/>
      <c r="J150" s="3213" t="s">
        <v>0</v>
      </c>
      <c r="K150" s="3199"/>
      <c r="L150" s="3213" t="s">
        <v>1</v>
      </c>
      <c r="M150" s="3214"/>
      <c r="N150" s="1856"/>
      <c r="O150" s="3497" t="s">
        <v>292</v>
      </c>
      <c r="Q150" s="3499" t="s">
        <v>296</v>
      </c>
      <c r="R150" s="3500"/>
      <c r="S150" s="3500"/>
      <c r="T150" s="3500"/>
      <c r="U150" s="3500"/>
      <c r="V150" s="3500"/>
      <c r="W150" s="3501"/>
    </row>
    <row r="151" spans="1:32" ht="12" customHeight="1">
      <c r="A151" s="1810" t="s">
        <v>202</v>
      </c>
      <c r="B151" s="3292" t="s">
        <v>206</v>
      </c>
      <c r="C151" s="3292"/>
      <c r="D151" s="3292"/>
      <c r="E151" s="3292"/>
      <c r="F151" s="3293"/>
      <c r="G151" s="3049"/>
      <c r="H151" s="3050" t="s">
        <v>56</v>
      </c>
      <c r="I151" s="3051"/>
      <c r="J151" s="3172" t="s">
        <v>1167</v>
      </c>
      <c r="K151" s="3173"/>
      <c r="L151" s="3225" t="s">
        <v>215</v>
      </c>
      <c r="M151" s="3429"/>
      <c r="N151" s="1966"/>
      <c r="O151" s="3498"/>
      <c r="Q151" s="3502" t="s">
        <v>297</v>
      </c>
      <c r="R151" s="3503"/>
      <c r="S151" s="3503"/>
      <c r="T151" s="3503"/>
      <c r="U151" s="3503"/>
      <c r="V151" s="3503"/>
      <c r="W151" s="3504"/>
      <c r="X151" s="75"/>
      <c r="Y151" s="75"/>
      <c r="Z151" s="76"/>
    </row>
    <row r="152" spans="1:32" ht="12" customHeight="1">
      <c r="A152" s="1829"/>
      <c r="B152" s="3523" t="s">
        <v>1002</v>
      </c>
      <c r="C152" s="3227" t="s">
        <v>1004</v>
      </c>
      <c r="D152" s="3457"/>
      <c r="E152" s="3457"/>
      <c r="F152" s="3458"/>
      <c r="G152" s="2084" t="s">
        <v>16</v>
      </c>
      <c r="H152" s="3165" t="s">
        <v>232</v>
      </c>
      <c r="I152" s="3142"/>
      <c r="J152" s="3567">
        <v>2.5</v>
      </c>
      <c r="K152" s="3568"/>
      <c r="L152" s="3147">
        <v>0.1</v>
      </c>
      <c r="M152" s="3138"/>
      <c r="N152" s="1856"/>
      <c r="O152" s="3092" t="s">
        <v>250</v>
      </c>
      <c r="Q152" s="3477" t="s">
        <v>281</v>
      </c>
      <c r="R152" s="3478"/>
      <c r="S152" s="3485" t="s">
        <v>295</v>
      </c>
      <c r="T152" s="3478"/>
      <c r="U152" s="3485" t="s">
        <v>282</v>
      </c>
      <c r="V152" s="3492"/>
      <c r="W152" s="3493"/>
      <c r="X152" s="2119"/>
      <c r="Y152" s="2119"/>
      <c r="Z152" s="3089"/>
      <c r="AA152" s="3089"/>
      <c r="AB152" s="3089"/>
      <c r="AC152" s="2119"/>
    </row>
    <row r="153" spans="1:32" ht="12" customHeight="1">
      <c r="A153" s="1829"/>
      <c r="B153" s="3462"/>
      <c r="C153" s="3185" t="s">
        <v>987</v>
      </c>
      <c r="D153" s="3186"/>
      <c r="E153" s="3186"/>
      <c r="F153" s="3187"/>
      <c r="G153" s="2087" t="s">
        <v>17</v>
      </c>
      <c r="H153" s="3166"/>
      <c r="I153" s="3144"/>
      <c r="J153" s="3167"/>
      <c r="K153" s="3168"/>
      <c r="L153" s="3169">
        <v>0.5</v>
      </c>
      <c r="M153" s="3193"/>
      <c r="N153" s="1928"/>
      <c r="O153" s="3093"/>
      <c r="Q153" s="3477"/>
      <c r="R153" s="3478"/>
      <c r="S153" s="3485"/>
      <c r="T153" s="3478"/>
      <c r="U153" s="3485"/>
      <c r="V153" s="3492"/>
      <c r="W153" s="3493"/>
      <c r="X153" s="77"/>
      <c r="Y153" s="2120"/>
      <c r="Z153" s="2121"/>
      <c r="AA153" s="2122"/>
      <c r="AB153" s="2123"/>
      <c r="AC153" s="2124"/>
    </row>
    <row r="154" spans="1:32" ht="12" customHeight="1">
      <c r="A154" s="68"/>
      <c r="B154" s="3462"/>
      <c r="C154" s="3185" t="s">
        <v>163</v>
      </c>
      <c r="D154" s="3186"/>
      <c r="E154" s="3186"/>
      <c r="F154" s="3187"/>
      <c r="G154" s="2125" t="s">
        <v>20</v>
      </c>
      <c r="H154" s="3166"/>
      <c r="I154" s="3144"/>
      <c r="J154" s="3114">
        <v>1</v>
      </c>
      <c r="K154" s="3196"/>
      <c r="L154" s="3114">
        <v>1</v>
      </c>
      <c r="M154" s="3115"/>
      <c r="N154" s="1928"/>
      <c r="O154" s="78">
        <v>1</v>
      </c>
      <c r="P154" s="2126"/>
      <c r="Q154" s="3479"/>
      <c r="R154" s="3480"/>
      <c r="S154" s="3486"/>
      <c r="T154" s="3480"/>
      <c r="U154" s="3486"/>
      <c r="V154" s="3494"/>
      <c r="W154" s="3495"/>
      <c r="X154" s="77"/>
      <c r="Y154" s="2120"/>
      <c r="Z154" s="2121"/>
      <c r="AA154" s="79"/>
      <c r="AB154" s="58"/>
      <c r="AC154" s="2124"/>
    </row>
    <row r="155" spans="1:32" ht="12" customHeight="1">
      <c r="A155" s="1829"/>
      <c r="B155" s="3465"/>
      <c r="C155" s="3510" t="s">
        <v>164</v>
      </c>
      <c r="D155" s="3511"/>
      <c r="E155" s="3511"/>
      <c r="F155" s="3512"/>
      <c r="G155" s="2127" t="s">
        <v>22</v>
      </c>
      <c r="H155" s="3166"/>
      <c r="I155" s="3144"/>
      <c r="J155" s="3112">
        <v>0.67</v>
      </c>
      <c r="K155" s="3197"/>
      <c r="L155" s="3112">
        <v>1.5</v>
      </c>
      <c r="M155" s="3113"/>
      <c r="N155" s="1966"/>
      <c r="O155" s="122" t="s">
        <v>152</v>
      </c>
      <c r="Q155" s="3481">
        <v>0.5</v>
      </c>
      <c r="R155" s="3482"/>
      <c r="S155" s="3487">
        <v>1</v>
      </c>
      <c r="T155" s="3488"/>
      <c r="U155" s="3487">
        <v>2</v>
      </c>
      <c r="V155" s="3505"/>
      <c r="W155" s="3506"/>
      <c r="X155" s="59" t="s">
        <v>283</v>
      </c>
      <c r="Y155" s="2120"/>
      <c r="Z155" s="2121"/>
      <c r="AA155" s="79"/>
      <c r="AB155" s="58"/>
      <c r="AC155" s="2124"/>
    </row>
    <row r="156" spans="1:32" ht="12" customHeight="1" thickBot="1">
      <c r="A156" s="1992"/>
      <c r="B156" s="1298" t="s">
        <v>1007</v>
      </c>
      <c r="C156" s="2128"/>
      <c r="D156" s="2128"/>
      <c r="E156" s="2128"/>
      <c r="F156" s="2129"/>
      <c r="G156" s="2130"/>
      <c r="H156" s="2131"/>
      <c r="I156" s="2132"/>
      <c r="J156" s="2133"/>
      <c r="K156" s="2134"/>
      <c r="L156" s="2133"/>
      <c r="M156" s="2135"/>
      <c r="N156" s="1928"/>
      <c r="O156" s="2136"/>
      <c r="P156" s="2137"/>
      <c r="Q156" s="3483">
        <v>2</v>
      </c>
      <c r="R156" s="3484"/>
      <c r="S156" s="3507">
        <v>1</v>
      </c>
      <c r="T156" s="3484"/>
      <c r="U156" s="3507">
        <v>0.5</v>
      </c>
      <c r="V156" s="3508"/>
      <c r="W156" s="3509"/>
      <c r="X156" s="59" t="s">
        <v>284</v>
      </c>
      <c r="Y156" s="2120"/>
      <c r="Z156" s="2121"/>
      <c r="AA156" s="79"/>
      <c r="AB156" s="58"/>
      <c r="AC156" s="2124"/>
    </row>
    <row r="157" spans="1:32" ht="12" customHeight="1" thickTop="1">
      <c r="A157" s="1883" t="s">
        <v>203</v>
      </c>
      <c r="B157" s="3314" t="s">
        <v>205</v>
      </c>
      <c r="C157" s="3314"/>
      <c r="D157" s="3314"/>
      <c r="E157" s="3314"/>
      <c r="F157" s="3325"/>
      <c r="G157" s="2138"/>
      <c r="H157" s="3159" t="s">
        <v>56</v>
      </c>
      <c r="I157" s="3160"/>
      <c r="J157" s="3194" t="s">
        <v>1167</v>
      </c>
      <c r="K157" s="3195"/>
      <c r="L157" s="3194" t="s">
        <v>243</v>
      </c>
      <c r="M157" s="3258"/>
      <c r="N157" s="1966"/>
      <c r="O157" s="1799"/>
      <c r="Y157" s="2120"/>
      <c r="Z157" s="2121"/>
      <c r="AA157" s="79"/>
      <c r="AB157" s="58"/>
      <c r="AC157" s="2124"/>
    </row>
    <row r="158" spans="1:32" ht="12" customHeight="1">
      <c r="A158" s="1829"/>
      <c r="B158" s="3523" t="s">
        <v>280</v>
      </c>
      <c r="C158" s="2059" t="s">
        <v>244</v>
      </c>
      <c r="D158" s="3457" t="s">
        <v>245</v>
      </c>
      <c r="E158" s="3324"/>
      <c r="F158" s="3526"/>
      <c r="G158" s="1826" t="s">
        <v>24</v>
      </c>
      <c r="H158" s="3165" t="s">
        <v>232</v>
      </c>
      <c r="I158" s="3142"/>
      <c r="J158" s="3167">
        <v>25</v>
      </c>
      <c r="K158" s="3168"/>
      <c r="L158" s="2139" t="s">
        <v>581</v>
      </c>
      <c r="M158" s="200">
        <v>0.75</v>
      </c>
      <c r="N158" s="1856"/>
      <c r="O158" s="2140" t="s">
        <v>155</v>
      </c>
      <c r="V158" s="61"/>
      <c r="W158" s="77"/>
      <c r="X158" s="2120"/>
      <c r="Z158" s="2121"/>
      <c r="AA158" s="79"/>
      <c r="AB158" s="58"/>
      <c r="AC158" s="2124"/>
    </row>
    <row r="159" spans="1:32" ht="12" customHeight="1">
      <c r="A159" s="1829"/>
      <c r="B159" s="3462"/>
      <c r="C159" s="2061" t="s">
        <v>246</v>
      </c>
      <c r="D159" s="3186" t="s">
        <v>247</v>
      </c>
      <c r="E159" s="3316"/>
      <c r="F159" s="3496"/>
      <c r="G159" s="1830" t="s">
        <v>26</v>
      </c>
      <c r="H159" s="3166"/>
      <c r="I159" s="3144"/>
      <c r="J159" s="3169">
        <v>100</v>
      </c>
      <c r="K159" s="3161"/>
      <c r="L159" s="2141" t="s">
        <v>581</v>
      </c>
      <c r="M159" s="201">
        <v>0.4</v>
      </c>
      <c r="N159" s="1856"/>
      <c r="O159" s="2087" t="s">
        <v>153</v>
      </c>
      <c r="V159" s="61"/>
      <c r="W159" s="77"/>
      <c r="X159" s="2120"/>
      <c r="Z159" s="2121"/>
      <c r="AA159" s="79"/>
      <c r="AB159" s="58"/>
      <c r="AC159" s="2124"/>
    </row>
    <row r="160" spans="1:32" ht="12" customHeight="1">
      <c r="A160" s="1829"/>
      <c r="B160" s="3465"/>
      <c r="C160" s="3466" t="s">
        <v>108</v>
      </c>
      <c r="D160" s="3342"/>
      <c r="E160" s="3342"/>
      <c r="F160" s="3467"/>
      <c r="G160" s="2078" t="s">
        <v>28</v>
      </c>
      <c r="H160" s="3166"/>
      <c r="I160" s="3144"/>
      <c r="J160" s="3516">
        <v>300</v>
      </c>
      <c r="K160" s="3263"/>
      <c r="L160" s="2142" t="s">
        <v>581</v>
      </c>
      <c r="M160" s="202">
        <v>0.15</v>
      </c>
      <c r="N160" s="2073"/>
      <c r="O160" s="2055" t="s">
        <v>154</v>
      </c>
      <c r="R160" t="s">
        <v>566</v>
      </c>
      <c r="S160"/>
      <c r="T160"/>
      <c r="U160"/>
      <c r="V160"/>
      <c r="W160"/>
      <c r="X160"/>
      <c r="Y160" s="2143"/>
      <c r="Z160" s="2144"/>
      <c r="AA160" s="2145"/>
      <c r="AB160" s="2146"/>
      <c r="AC160" s="59"/>
      <c r="AD160" s="2143"/>
      <c r="AE160" s="2146"/>
      <c r="AF160" s="2147"/>
    </row>
    <row r="161" spans="1:41" ht="12" customHeight="1">
      <c r="A161" s="68"/>
      <c r="B161" s="3524" t="s">
        <v>196</v>
      </c>
      <c r="C161" s="3525"/>
      <c r="D161" s="3457" t="s">
        <v>109</v>
      </c>
      <c r="E161" s="3324"/>
      <c r="F161" s="3526"/>
      <c r="G161" s="1826" t="s">
        <v>52</v>
      </c>
      <c r="H161" s="3166"/>
      <c r="I161" s="3144"/>
      <c r="J161" s="3167">
        <v>10</v>
      </c>
      <c r="K161" s="3168"/>
      <c r="L161" s="2148" t="s">
        <v>581</v>
      </c>
      <c r="M161" s="203">
        <v>0.75</v>
      </c>
      <c r="N161" s="1856"/>
      <c r="O161" s="2149" t="s">
        <v>156</v>
      </c>
      <c r="Q161" s="3489" t="s">
        <v>650</v>
      </c>
      <c r="R161" s="3490"/>
      <c r="S161" s="3491"/>
      <c r="T161" s="3664" t="s">
        <v>567</v>
      </c>
      <c r="U161" s="3476"/>
      <c r="V161" s="3087" t="s">
        <v>568</v>
      </c>
      <c r="W161" s="3476"/>
      <c r="X161" s="3087" t="s">
        <v>569</v>
      </c>
      <c r="Y161" s="3476"/>
      <c r="Z161" s="3087" t="s">
        <v>570</v>
      </c>
      <c r="AA161" s="3476"/>
      <c r="AB161" s="3087" t="s">
        <v>571</v>
      </c>
      <c r="AC161" s="3088"/>
      <c r="AD161" s="3598" t="s">
        <v>572</v>
      </c>
      <c r="AE161" s="3599"/>
      <c r="AF161" s="3600"/>
      <c r="AG161" s="59"/>
    </row>
    <row r="162" spans="1:41" ht="12" customHeight="1">
      <c r="A162" s="2150"/>
      <c r="B162" s="3465"/>
      <c r="C162" s="3466"/>
      <c r="D162" s="3342" t="s">
        <v>110</v>
      </c>
      <c r="E162" s="3252"/>
      <c r="F162" s="3343"/>
      <c r="G162" s="2078" t="s">
        <v>54</v>
      </c>
      <c r="H162" s="3170"/>
      <c r="I162" s="3171"/>
      <c r="J162" s="3157">
        <v>20</v>
      </c>
      <c r="K162" s="3158"/>
      <c r="L162" s="2142" t="s">
        <v>581</v>
      </c>
      <c r="M162" s="202">
        <v>0.5</v>
      </c>
      <c r="N162" s="1966"/>
      <c r="O162" s="2151" t="s">
        <v>157</v>
      </c>
      <c r="Q162" s="3519" t="s">
        <v>579</v>
      </c>
      <c r="R162" s="3520"/>
      <c r="S162" s="3521"/>
      <c r="T162" s="3124" t="s">
        <v>573</v>
      </c>
      <c r="U162" s="3091"/>
      <c r="V162" s="3090" t="s">
        <v>574</v>
      </c>
      <c r="W162" s="3091"/>
      <c r="X162" s="3090" t="s">
        <v>575</v>
      </c>
      <c r="Y162" s="3091"/>
      <c r="Z162" s="3090" t="s">
        <v>576</v>
      </c>
      <c r="AA162" s="3091"/>
      <c r="AB162" s="3090" t="s">
        <v>577</v>
      </c>
      <c r="AC162" s="3111"/>
      <c r="AD162" s="3107" t="s">
        <v>578</v>
      </c>
      <c r="AE162" s="3108"/>
      <c r="AF162" s="3109"/>
      <c r="AG162" s="59"/>
    </row>
    <row r="163" spans="1:41" ht="12" customHeight="1" thickBot="1">
      <c r="A163" s="2152"/>
      <c r="B163" s="3335" t="s">
        <v>688</v>
      </c>
      <c r="C163" s="3335"/>
      <c r="D163" s="3335"/>
      <c r="E163" s="3335"/>
      <c r="F163" s="3335"/>
      <c r="G163" s="3335"/>
      <c r="H163" s="3335"/>
      <c r="I163" s="3335"/>
      <c r="J163" s="3335"/>
      <c r="K163" s="3335"/>
      <c r="L163" s="3335"/>
      <c r="M163" s="3336"/>
      <c r="N163" s="2153"/>
      <c r="R163" s="2154"/>
      <c r="S163" s="2154"/>
      <c r="T163" s="2154"/>
      <c r="V163" s="2155"/>
      <c r="W163" s="80"/>
      <c r="X163" s="2120"/>
      <c r="Z163" s="2124"/>
    </row>
    <row r="164" spans="1:41" ht="13.5" customHeight="1" thickBot="1">
      <c r="A164" s="81"/>
      <c r="B164" s="1835"/>
      <c r="C164" s="1835"/>
      <c r="D164" s="1835"/>
      <c r="E164" s="1835"/>
      <c r="F164" s="2156"/>
      <c r="G164" s="1912"/>
      <c r="O164" s="2157" t="s">
        <v>593</v>
      </c>
      <c r="P164" s="2158"/>
      <c r="Q164"/>
      <c r="R164"/>
      <c r="S164"/>
      <c r="T164"/>
      <c r="U164"/>
      <c r="Z164" s="2159"/>
      <c r="AA164" s="2159"/>
      <c r="AB164" s="2159"/>
      <c r="AC164" s="75"/>
      <c r="AD164" s="75"/>
      <c r="AE164" s="75"/>
    </row>
    <row r="165" spans="1:41" ht="13.5" customHeight="1">
      <c r="A165" s="1806" t="s">
        <v>1092</v>
      </c>
      <c r="B165" s="3177" t="s">
        <v>625</v>
      </c>
      <c r="C165" s="3177"/>
      <c r="D165" s="3177"/>
      <c r="E165" s="3177"/>
      <c r="F165" s="3178"/>
      <c r="G165" s="3048" t="s">
        <v>259</v>
      </c>
      <c r="H165" s="3522" t="s">
        <v>412</v>
      </c>
      <c r="I165" s="3337"/>
      <c r="J165" s="3337" t="s">
        <v>0</v>
      </c>
      <c r="K165" s="3337"/>
      <c r="L165" s="3337" t="s">
        <v>1</v>
      </c>
      <c r="M165" s="3338"/>
      <c r="N165" s="1856"/>
      <c r="O165" s="3695" t="s">
        <v>799</v>
      </c>
      <c r="P165" s="3696"/>
      <c r="Q165" s="3696"/>
      <c r="R165" s="3697"/>
      <c r="S165" s="3685" t="s">
        <v>1141</v>
      </c>
      <c r="T165" s="3686"/>
      <c r="U165" s="3635" t="s">
        <v>917</v>
      </c>
      <c r="V165" s="3636"/>
      <c r="W165" s="3637"/>
      <c r="X165" s="3657" t="s">
        <v>1240</v>
      </c>
      <c r="Y165" s="3658"/>
      <c r="Z165" s="3658"/>
      <c r="AA165" s="3658"/>
      <c r="AB165" s="3658"/>
      <c r="AC165" s="3659"/>
      <c r="AD165" s="3153" t="s">
        <v>942</v>
      </c>
      <c r="AE165" s="3154"/>
      <c r="AF165" s="75"/>
      <c r="AN165" s="64"/>
      <c r="AO165" s="64"/>
    </row>
    <row r="166" spans="1:41" ht="12" customHeight="1">
      <c r="A166" s="1810" t="s">
        <v>221</v>
      </c>
      <c r="B166" s="3333" t="s">
        <v>208</v>
      </c>
      <c r="C166" s="3333"/>
      <c r="D166" s="3333"/>
      <c r="E166" s="3333"/>
      <c r="F166" s="3334"/>
      <c r="G166" s="3049"/>
      <c r="H166" s="3050" t="s">
        <v>56</v>
      </c>
      <c r="I166" s="3051"/>
      <c r="J166" s="3052" t="s">
        <v>1108</v>
      </c>
      <c r="K166" s="3051"/>
      <c r="L166" s="3052" t="s">
        <v>582</v>
      </c>
      <c r="M166" s="3272"/>
      <c r="N166" s="1856"/>
      <c r="O166" s="3698"/>
      <c r="P166" s="3699"/>
      <c r="Q166" s="3699"/>
      <c r="R166" s="3700"/>
      <c r="S166" s="3687" t="s">
        <v>1140</v>
      </c>
      <c r="T166" s="3645"/>
      <c r="U166" s="3644" t="s">
        <v>580</v>
      </c>
      <c r="V166" s="3663"/>
      <c r="W166" s="3645"/>
      <c r="X166" s="3644" t="s">
        <v>800</v>
      </c>
      <c r="Y166" s="3645"/>
      <c r="Z166" s="3646" t="s">
        <v>584</v>
      </c>
      <c r="AA166" s="3647"/>
      <c r="AB166" s="3517" t="s">
        <v>801</v>
      </c>
      <c r="AC166" s="3518"/>
      <c r="AD166" s="3642" t="s">
        <v>802</v>
      </c>
      <c r="AE166" s="3643"/>
      <c r="AF166" s="82"/>
      <c r="AJ166" s="79"/>
      <c r="AL166" s="64"/>
      <c r="AM166" s="64"/>
    </row>
    <row r="167" spans="1:41" ht="12" customHeight="1">
      <c r="A167" s="2160"/>
      <c r="B167" s="2161" t="s">
        <v>1067</v>
      </c>
      <c r="C167" s="1948"/>
      <c r="D167" s="2083"/>
      <c r="E167" s="2083"/>
      <c r="F167" s="2084"/>
      <c r="G167" s="2085" t="s">
        <v>26</v>
      </c>
      <c r="H167" s="3165" t="s">
        <v>233</v>
      </c>
      <c r="I167" s="3142"/>
      <c r="J167" s="3147">
        <v>5</v>
      </c>
      <c r="K167" s="3164"/>
      <c r="L167" s="2139" t="s">
        <v>581</v>
      </c>
      <c r="M167" s="2162">
        <f>AD167</f>
        <v>5.5731187429099383E-2</v>
      </c>
      <c r="N167" s="2016"/>
      <c r="O167" s="2163" t="str">
        <f>B167</f>
        <v>Unknown composition of zone</v>
      </c>
      <c r="P167" s="2164"/>
      <c r="Q167" s="2165"/>
      <c r="R167" s="1796" t="s">
        <v>26</v>
      </c>
      <c r="S167" s="3688">
        <v>50</v>
      </c>
      <c r="T167" s="3689"/>
      <c r="U167" s="3150">
        <v>0.25</v>
      </c>
      <c r="V167" s="3151"/>
      <c r="W167" s="3152"/>
      <c r="X167" s="3150">
        <v>1E-4</v>
      </c>
      <c r="Y167" s="3152"/>
      <c r="Z167" s="3648">
        <f>X167*1000</f>
        <v>0.1</v>
      </c>
      <c r="AA167" s="3649"/>
      <c r="AB167" s="3640">
        <f>X167^0.33</f>
        <v>4.7863009232263845E-2</v>
      </c>
      <c r="AC167" s="3641"/>
      <c r="AD167" s="3148">
        <f>S167*0.2*(U167^0.5)*(X167^(0.37*U167^(-0.2)))</f>
        <v>5.5731187429099383E-2</v>
      </c>
      <c r="AE167" s="3149"/>
      <c r="AF167" s="2146"/>
      <c r="AH167" s="2166"/>
      <c r="AI167" s="2166"/>
      <c r="AJ167" s="64"/>
      <c r="AK167" s="64"/>
      <c r="AL167" s="64"/>
      <c r="AM167" s="64"/>
    </row>
    <row r="168" spans="1:41" ht="12" customHeight="1">
      <c r="A168" s="2167"/>
      <c r="B168" s="2168" t="s">
        <v>711</v>
      </c>
      <c r="C168" s="1977"/>
      <c r="D168" s="2169"/>
      <c r="E168" s="2086"/>
      <c r="F168" s="2087"/>
      <c r="G168" s="1830" t="s">
        <v>28</v>
      </c>
      <c r="H168" s="3166"/>
      <c r="I168" s="3144"/>
      <c r="J168" s="3169">
        <v>5</v>
      </c>
      <c r="K168" s="3161"/>
      <c r="L168" s="2148" t="s">
        <v>581</v>
      </c>
      <c r="M168" s="2170">
        <f>AD168</f>
        <v>0.4966966822238868</v>
      </c>
      <c r="N168" s="2016"/>
      <c r="O168" s="2171" t="str">
        <f>B168</f>
        <v>Crushed zone, clay-free</v>
      </c>
      <c r="P168" s="2172"/>
      <c r="Q168" s="2173"/>
      <c r="R168" s="2174" t="s">
        <v>28</v>
      </c>
      <c r="S168" s="3690">
        <v>75</v>
      </c>
      <c r="T168" s="3691"/>
      <c r="U168" s="3079">
        <v>1</v>
      </c>
      <c r="V168" s="3119"/>
      <c r="W168" s="3080"/>
      <c r="X168" s="3079">
        <v>1E-4</v>
      </c>
      <c r="Y168" s="3080"/>
      <c r="Z168" s="3081">
        <f>X168*1000</f>
        <v>0.1</v>
      </c>
      <c r="AA168" s="3082"/>
      <c r="AB168" s="3638">
        <f>X168^0.33</f>
        <v>4.7863009232263845E-2</v>
      </c>
      <c r="AC168" s="3639"/>
      <c r="AD168" s="3077">
        <f>S168*0.2*(U168^0.5)*(X168^(0.37*U168^(-0.2)))</f>
        <v>0.4966966822238868</v>
      </c>
      <c r="AE168" s="3078"/>
      <c r="AF168" s="2146"/>
      <c r="AH168" s="2166"/>
      <c r="AI168" s="2166"/>
      <c r="AJ168" s="64"/>
      <c r="AK168" s="64"/>
      <c r="AL168" s="64"/>
      <c r="AM168" s="64"/>
    </row>
    <row r="169" spans="1:41" ht="12" customHeight="1">
      <c r="A169" s="2167"/>
      <c r="B169" s="2168" t="s">
        <v>1151</v>
      </c>
      <c r="C169" s="1977"/>
      <c r="D169" s="2169"/>
      <c r="E169" s="2086"/>
      <c r="F169" s="2087"/>
      <c r="G169" s="1830" t="s">
        <v>52</v>
      </c>
      <c r="H169" s="3166"/>
      <c r="I169" s="3144"/>
      <c r="J169" s="3169">
        <v>7.5</v>
      </c>
      <c r="K169" s="3161"/>
      <c r="L169" s="2141" t="s">
        <v>581</v>
      </c>
      <c r="M169" s="2175">
        <f>AD169</f>
        <v>5.5511039302030257E-3</v>
      </c>
      <c r="N169" s="2016"/>
      <c r="O169" s="2171" t="str">
        <f>B169</f>
        <v>Crushed zone, with clay seams</v>
      </c>
      <c r="P169" s="2176"/>
      <c r="Q169" s="2177"/>
      <c r="R169" s="2174" t="s">
        <v>52</v>
      </c>
      <c r="S169" s="3690">
        <v>50</v>
      </c>
      <c r="T169" s="3691"/>
      <c r="U169" s="3120">
        <v>0.125</v>
      </c>
      <c r="V169" s="3121"/>
      <c r="W169" s="3122"/>
      <c r="X169" s="3120">
        <v>1.0000000000000001E-5</v>
      </c>
      <c r="Y169" s="3122"/>
      <c r="Z169" s="3155">
        <f>X169*1000</f>
        <v>0.01</v>
      </c>
      <c r="AA169" s="3156"/>
      <c r="AB169" s="3683">
        <f>X169^0.33</f>
        <v>2.2387211385683392E-2</v>
      </c>
      <c r="AC169" s="3684"/>
      <c r="AD169" s="3075">
        <f>S169*0.2*(U169^0.5)*(X169^(0.37*U169^(-0.2)))</f>
        <v>5.5511039302030257E-3</v>
      </c>
      <c r="AE169" s="3076"/>
      <c r="AF169" s="2146"/>
      <c r="AG169" s="2178" t="s">
        <v>928</v>
      </c>
      <c r="AH169" s="2166"/>
      <c r="AI169" s="2166"/>
      <c r="AJ169" s="64"/>
      <c r="AK169" s="64"/>
      <c r="AL169" s="64"/>
      <c r="AM169" s="64"/>
    </row>
    <row r="170" spans="1:41" ht="12" customHeight="1" thickBot="1">
      <c r="A170" s="2179"/>
      <c r="B170" s="2180" t="s">
        <v>712</v>
      </c>
      <c r="C170" s="2088"/>
      <c r="D170" s="2089"/>
      <c r="E170" s="2089"/>
      <c r="F170" s="2090"/>
      <c r="G170" s="2181" t="s">
        <v>54</v>
      </c>
      <c r="H170" s="3170"/>
      <c r="I170" s="3171"/>
      <c r="J170" s="3516">
        <v>10</v>
      </c>
      <c r="K170" s="3263"/>
      <c r="L170" s="2142" t="s">
        <v>581</v>
      </c>
      <c r="M170" s="2182">
        <f>AD170</f>
        <v>3.7500000000000006E-2</v>
      </c>
      <c r="N170" s="2016"/>
      <c r="O170" s="2183" t="str">
        <f>B170</f>
        <v>Zone filled with soft material</v>
      </c>
      <c r="P170" s="2184"/>
      <c r="Q170" s="2185"/>
      <c r="R170" s="2186" t="s">
        <v>54</v>
      </c>
      <c r="S170" s="3693">
        <f>L8</f>
        <v>7.5000000000000011E-2</v>
      </c>
      <c r="T170" s="3694"/>
      <c r="U170" s="3527" t="s">
        <v>1044</v>
      </c>
      <c r="V170" s="3528"/>
      <c r="W170" s="3529"/>
      <c r="X170" s="3656">
        <v>1.0000000000000001E-5</v>
      </c>
      <c r="Y170" s="3384"/>
      <c r="Z170" s="3650">
        <f>X170*1000</f>
        <v>0.01</v>
      </c>
      <c r="AA170" s="3651"/>
      <c r="AB170" s="3652">
        <f>X170^0.333</f>
        <v>2.16271852372702E-2</v>
      </c>
      <c r="AC170" s="3653"/>
      <c r="AD170" s="3654">
        <f>S170*0.5</f>
        <v>3.7500000000000006E-2</v>
      </c>
      <c r="AE170" s="3655"/>
      <c r="AF170" s="2146"/>
      <c r="AH170" s="2166"/>
      <c r="AI170" s="2166"/>
      <c r="AJ170" s="64"/>
      <c r="AK170" s="64"/>
      <c r="AL170" s="2166"/>
      <c r="AM170" s="2166"/>
    </row>
    <row r="171" spans="1:41" ht="12" customHeight="1">
      <c r="A171" s="2187" t="s">
        <v>1042</v>
      </c>
      <c r="B171" s="2188"/>
      <c r="C171" s="2189"/>
      <c r="D171" s="2189"/>
      <c r="E171" s="2189"/>
      <c r="F171" s="2189"/>
      <c r="G171" s="2189"/>
      <c r="H171" s="2189"/>
      <c r="I171" s="2189"/>
      <c r="J171" s="2189"/>
      <c r="K171" s="2189"/>
      <c r="L171" s="2189"/>
      <c r="M171" s="2190"/>
      <c r="O171" s="59"/>
      <c r="P171" s="2191"/>
      <c r="Q171" s="2191"/>
      <c r="R171" s="2192"/>
      <c r="S171" s="2192"/>
      <c r="T171" s="2192"/>
      <c r="U171" s="2192"/>
      <c r="V171" s="2192"/>
      <c r="W171" s="2192"/>
      <c r="X171" s="2192"/>
      <c r="Y171" s="2192"/>
      <c r="Z171" s="2193"/>
      <c r="AA171" s="2193"/>
      <c r="AB171" s="2194"/>
      <c r="AC171" s="2194"/>
      <c r="AD171" s="2195"/>
      <c r="AE171" s="2195"/>
      <c r="AF171" s="2146"/>
      <c r="AH171" s="2166"/>
      <c r="AI171" s="2166"/>
      <c r="AJ171" s="64"/>
      <c r="AK171" s="64"/>
      <c r="AL171" s="2166"/>
      <c r="AM171" s="2166"/>
    </row>
    <row r="172" spans="1:41" ht="12" customHeight="1" thickBot="1">
      <c r="A172" s="2196"/>
      <c r="B172" s="59"/>
      <c r="C172" s="1835"/>
      <c r="D172" s="1912"/>
      <c r="E172" s="1912"/>
      <c r="F172" s="1912"/>
      <c r="G172" s="82"/>
      <c r="H172" s="1912"/>
      <c r="I172" s="1912"/>
      <c r="J172" s="1869"/>
      <c r="K172" s="1869"/>
      <c r="L172" s="2197"/>
      <c r="M172" s="2198"/>
      <c r="O172" s="2199" t="s">
        <v>418</v>
      </c>
      <c r="AB172" s="2194"/>
      <c r="AC172" s="2194"/>
      <c r="AD172" s="2195"/>
      <c r="AE172" s="2195"/>
      <c r="AF172" s="2146"/>
      <c r="AH172" s="2166"/>
      <c r="AI172" s="2166"/>
      <c r="AJ172" s="64"/>
      <c r="AK172" s="64"/>
      <c r="AL172" s="2166"/>
      <c r="AM172" s="2166"/>
    </row>
    <row r="173" spans="1:41" ht="12" customHeight="1">
      <c r="A173" s="2200"/>
      <c r="B173" s="59"/>
      <c r="C173" s="62"/>
      <c r="D173" s="2201"/>
      <c r="E173" s="82"/>
      <c r="F173" s="2202"/>
      <c r="G173" s="1912"/>
      <c r="H173" s="3544"/>
      <c r="I173" s="3544"/>
      <c r="J173" s="3668"/>
      <c r="K173" s="3668"/>
      <c r="L173" s="3669"/>
      <c r="M173" s="3670"/>
      <c r="N173" s="1856"/>
      <c r="O173" s="3671" t="s">
        <v>150</v>
      </c>
      <c r="P173" s="3672"/>
      <c r="Q173" s="3619" t="s">
        <v>318</v>
      </c>
      <c r="R173" s="3620"/>
      <c r="S173" s="3620"/>
      <c r="T173" s="3620"/>
      <c r="U173" s="3620"/>
      <c r="V173" s="3679"/>
      <c r="W173" s="3665" t="s">
        <v>319</v>
      </c>
      <c r="X173" s="3666"/>
      <c r="Y173" s="3666"/>
      <c r="Z173" s="3666"/>
      <c r="AA173" s="3666"/>
      <c r="AB173" s="3667"/>
      <c r="AC173" s="3619" t="s">
        <v>248</v>
      </c>
      <c r="AD173" s="3620"/>
      <c r="AE173" s="3620"/>
      <c r="AF173" s="3621"/>
      <c r="AH173" s="2166"/>
      <c r="AI173" s="2166"/>
      <c r="AJ173" s="64"/>
      <c r="AK173" s="64"/>
      <c r="AL173" s="2166"/>
      <c r="AM173" s="2166"/>
    </row>
    <row r="174" spans="1:41" ht="12" customHeight="1" thickBot="1">
      <c r="A174" s="2203"/>
      <c r="B174" s="2204"/>
      <c r="C174" s="2204"/>
      <c r="D174" s="2204"/>
      <c r="E174" s="2204"/>
      <c r="F174" s="2204"/>
      <c r="G174" s="2204"/>
      <c r="H174" s="2204"/>
      <c r="I174" s="2204"/>
      <c r="J174" s="2204"/>
      <c r="K174" s="2204"/>
      <c r="L174" s="2204"/>
      <c r="M174" s="2205"/>
      <c r="N174" s="1856"/>
      <c r="O174" s="3673"/>
      <c r="P174" s="3674"/>
      <c r="Q174" s="3571" t="s">
        <v>293</v>
      </c>
      <c r="R174" s="3572"/>
      <c r="S174" s="3573"/>
      <c r="T174" s="3591" t="s">
        <v>302</v>
      </c>
      <c r="U174" s="3572"/>
      <c r="V174" s="3592"/>
      <c r="W174" s="3593" t="s">
        <v>303</v>
      </c>
      <c r="X174" s="3594"/>
      <c r="Y174" s="3595"/>
      <c r="Z174" s="3596" t="s">
        <v>304</v>
      </c>
      <c r="AA174" s="3594"/>
      <c r="AB174" s="3597"/>
      <c r="AC174" s="1999" t="s">
        <v>287</v>
      </c>
      <c r="AD174" s="3591" t="s">
        <v>302</v>
      </c>
      <c r="AE174" s="3572"/>
      <c r="AF174" s="3622"/>
    </row>
    <row r="175" spans="1:41" ht="14.25" customHeight="1" thickTop="1">
      <c r="A175" s="2206" t="s">
        <v>1089</v>
      </c>
      <c r="B175" s="3292" t="s">
        <v>1090</v>
      </c>
      <c r="C175" s="3292"/>
      <c r="D175" s="3292"/>
      <c r="E175" s="3292"/>
      <c r="F175" s="3293"/>
      <c r="G175" s="2207"/>
      <c r="H175" s="3224" t="s">
        <v>56</v>
      </c>
      <c r="I175" s="3173"/>
      <c r="J175" s="3172" t="s">
        <v>56</v>
      </c>
      <c r="K175" s="3173"/>
      <c r="L175" s="3223" t="s">
        <v>583</v>
      </c>
      <c r="M175" s="3588"/>
      <c r="N175" s="2208"/>
      <c r="O175" s="3675" t="s">
        <v>98</v>
      </c>
      <c r="P175" s="3676"/>
      <c r="Q175" s="3530" t="s">
        <v>288</v>
      </c>
      <c r="R175" s="3531"/>
      <c r="S175" s="3532"/>
      <c r="T175" s="2004"/>
      <c r="U175" s="2005" t="s">
        <v>162</v>
      </c>
      <c r="V175" s="2296">
        <v>15</v>
      </c>
      <c r="W175" s="3530" t="s">
        <v>288</v>
      </c>
      <c r="X175" s="3531"/>
      <c r="Y175" s="3532"/>
      <c r="Z175" s="2004"/>
      <c r="AA175" s="2005" t="s">
        <v>162</v>
      </c>
      <c r="AB175" s="2296">
        <v>15</v>
      </c>
      <c r="AC175" s="3627" t="s">
        <v>151</v>
      </c>
      <c r="AD175" s="2209"/>
      <c r="AE175" s="2209"/>
      <c r="AF175" s="2210"/>
    </row>
    <row r="176" spans="1:41" ht="12" customHeight="1">
      <c r="A176" s="2297" t="s">
        <v>478</v>
      </c>
      <c r="B176" s="3323" t="s">
        <v>98</v>
      </c>
      <c r="C176" s="3324"/>
      <c r="D176" s="3324"/>
      <c r="E176" s="3324"/>
      <c r="F176" s="3526"/>
      <c r="G176" s="1951" t="s">
        <v>16</v>
      </c>
      <c r="H176" s="3165" t="s">
        <v>232</v>
      </c>
      <c r="I176" s="3142"/>
      <c r="J176" s="3141" t="s">
        <v>232</v>
      </c>
      <c r="K176" s="3142"/>
      <c r="L176" s="3073">
        <v>1</v>
      </c>
      <c r="M176" s="3074"/>
      <c r="N176" s="2073"/>
      <c r="O176" s="3677"/>
      <c r="P176" s="3678"/>
      <c r="Q176" s="2009"/>
      <c r="R176" s="2010" t="s">
        <v>161</v>
      </c>
      <c r="S176" s="1306">
        <v>70</v>
      </c>
      <c r="T176" s="3180" t="s">
        <v>288</v>
      </c>
      <c r="U176" s="3181"/>
      <c r="V176" s="3182"/>
      <c r="W176" s="2211"/>
      <c r="X176" s="2010" t="s">
        <v>161</v>
      </c>
      <c r="Y176" s="1306">
        <v>70</v>
      </c>
      <c r="Z176" s="3680" t="s">
        <v>288</v>
      </c>
      <c r="AA176" s="3681"/>
      <c r="AB176" s="3682"/>
      <c r="AC176" s="3130"/>
      <c r="AD176" s="2013"/>
      <c r="AE176" s="2014" t="s">
        <v>161</v>
      </c>
      <c r="AF176" s="1307">
        <v>60</v>
      </c>
    </row>
    <row r="177" spans="1:32" ht="12" customHeight="1">
      <c r="A177" s="2298" t="s">
        <v>373</v>
      </c>
      <c r="B177" s="3315" t="s">
        <v>99</v>
      </c>
      <c r="C177" s="3316"/>
      <c r="D177" s="3316"/>
      <c r="E177" s="3316"/>
      <c r="F177" s="3496"/>
      <c r="G177" s="1834" t="s">
        <v>17</v>
      </c>
      <c r="H177" s="3166"/>
      <c r="I177" s="3144"/>
      <c r="J177" s="3143"/>
      <c r="K177" s="3144"/>
      <c r="L177" s="3705">
        <v>1</v>
      </c>
      <c r="M177" s="3706"/>
      <c r="N177" s="2212"/>
      <c r="O177" s="3053" t="s">
        <v>99</v>
      </c>
      <c r="P177" s="3054"/>
      <c r="Q177" s="1977"/>
      <c r="R177" s="2017" t="s">
        <v>162</v>
      </c>
      <c r="S177" s="1308">
        <v>20</v>
      </c>
      <c r="T177" s="2213"/>
      <c r="U177" s="2017" t="s">
        <v>162</v>
      </c>
      <c r="V177" s="1309">
        <v>20</v>
      </c>
      <c r="W177" s="2213"/>
      <c r="X177" s="2017" t="s">
        <v>162</v>
      </c>
      <c r="Y177" s="1308">
        <v>20</v>
      </c>
      <c r="Z177" s="2019"/>
      <c r="AA177" s="2017" t="s">
        <v>162</v>
      </c>
      <c r="AB177" s="1309">
        <v>20</v>
      </c>
      <c r="AC177" s="3130"/>
      <c r="AD177" s="1310">
        <v>45</v>
      </c>
      <c r="AE177" s="2020" t="s">
        <v>77</v>
      </c>
      <c r="AF177" s="1311">
        <v>60</v>
      </c>
    </row>
    <row r="178" spans="1:32" ht="12" customHeight="1">
      <c r="A178" s="2298" t="s">
        <v>181</v>
      </c>
      <c r="B178" s="3315" t="s">
        <v>34</v>
      </c>
      <c r="C178" s="3316"/>
      <c r="D178" s="3316"/>
      <c r="E178" s="3316"/>
      <c r="F178" s="3496"/>
      <c r="G178" s="1957" t="s">
        <v>20</v>
      </c>
      <c r="H178" s="3166"/>
      <c r="I178" s="3144"/>
      <c r="J178" s="3143"/>
      <c r="K178" s="3144"/>
      <c r="L178" s="3120">
        <v>1.5</v>
      </c>
      <c r="M178" s="3704"/>
      <c r="N178" s="1856"/>
      <c r="O178" s="3701" t="s">
        <v>34</v>
      </c>
      <c r="P178" s="3702"/>
      <c r="Q178" s="2214"/>
      <c r="R178" s="2017" t="s">
        <v>162</v>
      </c>
      <c r="S178" s="1308">
        <v>20</v>
      </c>
      <c r="T178" s="1312">
        <v>20</v>
      </c>
      <c r="U178" s="2020" t="s">
        <v>56</v>
      </c>
      <c r="V178" s="1309">
        <v>45</v>
      </c>
      <c r="W178" s="2168"/>
      <c r="X178" s="2017" t="s">
        <v>162</v>
      </c>
      <c r="Y178" s="1308">
        <v>20</v>
      </c>
      <c r="Z178" s="2215"/>
      <c r="AA178" s="2017" t="s">
        <v>289</v>
      </c>
      <c r="AB178" s="1309">
        <v>60</v>
      </c>
      <c r="AC178" s="3130"/>
      <c r="AD178" s="3625">
        <v>30</v>
      </c>
      <c r="AE178" s="3083" t="s">
        <v>77</v>
      </c>
      <c r="AF178" s="3623">
        <v>45</v>
      </c>
    </row>
    <row r="179" spans="1:32" ht="12" customHeight="1">
      <c r="A179" s="2299" t="s">
        <v>374</v>
      </c>
      <c r="B179" s="3315" t="s">
        <v>100</v>
      </c>
      <c r="C179" s="3316"/>
      <c r="D179" s="3316"/>
      <c r="E179" s="3316"/>
      <c r="F179" s="3496"/>
      <c r="G179" s="1834" t="s">
        <v>22</v>
      </c>
      <c r="H179" s="3166"/>
      <c r="I179" s="3144"/>
      <c r="J179" s="3143"/>
      <c r="K179" s="3144"/>
      <c r="L179" s="3120">
        <v>2</v>
      </c>
      <c r="M179" s="3704"/>
      <c r="N179" s="2029"/>
      <c r="O179" s="3677"/>
      <c r="P179" s="3678"/>
      <c r="Q179" s="1312">
        <v>20</v>
      </c>
      <c r="R179" s="2020" t="s">
        <v>56</v>
      </c>
      <c r="S179" s="1308">
        <v>70</v>
      </c>
      <c r="T179" s="2213"/>
      <c r="U179" s="2017" t="s">
        <v>162</v>
      </c>
      <c r="V179" s="1309">
        <v>45</v>
      </c>
      <c r="W179" s="1313">
        <v>20</v>
      </c>
      <c r="X179" s="2012" t="s">
        <v>56</v>
      </c>
      <c r="Y179" s="1306">
        <v>70</v>
      </c>
      <c r="Z179" s="3680" t="s">
        <v>288</v>
      </c>
      <c r="AA179" s="3681"/>
      <c r="AB179" s="3682"/>
      <c r="AC179" s="3130"/>
      <c r="AD179" s="3626"/>
      <c r="AE179" s="3084"/>
      <c r="AF179" s="3624"/>
    </row>
    <row r="180" spans="1:32" ht="12" customHeight="1">
      <c r="A180" s="2300" t="s">
        <v>1063</v>
      </c>
      <c r="B180" s="3703" t="s">
        <v>101</v>
      </c>
      <c r="C180" s="3252"/>
      <c r="D180" s="3252"/>
      <c r="E180" s="3252"/>
      <c r="F180" s="3343"/>
      <c r="G180" s="2216" t="s">
        <v>24</v>
      </c>
      <c r="H180" s="3170"/>
      <c r="I180" s="3171"/>
      <c r="J180" s="3341"/>
      <c r="K180" s="3171"/>
      <c r="L180" s="3071">
        <v>3</v>
      </c>
      <c r="M180" s="3072"/>
      <c r="N180" s="2029"/>
      <c r="O180" s="3053" t="s">
        <v>100</v>
      </c>
      <c r="P180" s="3054"/>
      <c r="Q180" s="1312">
        <v>20</v>
      </c>
      <c r="R180" s="1824" t="s">
        <v>77</v>
      </c>
      <c r="S180" s="1308">
        <v>70</v>
      </c>
      <c r="T180" s="1312">
        <v>45</v>
      </c>
      <c r="U180" s="2020" t="s">
        <v>56</v>
      </c>
      <c r="V180" s="1309">
        <v>90</v>
      </c>
      <c r="W180" s="2217"/>
      <c r="X180" s="2017" t="s">
        <v>162</v>
      </c>
      <c r="Y180" s="1308">
        <v>20</v>
      </c>
      <c r="Z180" s="59"/>
      <c r="AA180" s="2017" t="s">
        <v>161</v>
      </c>
      <c r="AB180" s="1309">
        <v>60</v>
      </c>
      <c r="AC180" s="3130"/>
      <c r="AD180" s="1310">
        <v>15</v>
      </c>
      <c r="AE180" s="2020" t="s">
        <v>77</v>
      </c>
      <c r="AF180" s="1311">
        <v>30</v>
      </c>
    </row>
    <row r="181" spans="1:32" ht="12" customHeight="1" thickBot="1">
      <c r="A181" s="2204"/>
      <c r="B181" s="2204"/>
      <c r="C181" s="2204"/>
      <c r="D181" s="2204"/>
      <c r="E181" s="2204"/>
      <c r="F181" s="2204"/>
      <c r="G181" s="2204"/>
      <c r="H181" s="2204"/>
      <c r="I181" s="2204"/>
      <c r="J181" s="2204"/>
      <c r="K181" s="2204"/>
      <c r="L181" s="2204"/>
      <c r="M181" s="2204"/>
      <c r="N181" s="2029"/>
      <c r="O181" s="3055" t="s">
        <v>101</v>
      </c>
      <c r="P181" s="3056"/>
      <c r="Q181" s="2218"/>
      <c r="R181" s="2219" t="s">
        <v>162</v>
      </c>
      <c r="S181" s="1314">
        <v>20</v>
      </c>
      <c r="T181" s="1315">
        <v>45</v>
      </c>
      <c r="U181" s="2220" t="s">
        <v>56</v>
      </c>
      <c r="V181" s="1316">
        <v>90</v>
      </c>
      <c r="W181" s="2221"/>
      <c r="X181" s="2220" t="s">
        <v>56</v>
      </c>
      <c r="Y181" s="2222"/>
      <c r="Z181" s="2221"/>
      <c r="AA181" s="2223" t="s">
        <v>56</v>
      </c>
      <c r="AB181" s="2224"/>
      <c r="AC181" s="3628"/>
      <c r="AD181" s="2221"/>
      <c r="AE181" s="2219" t="s">
        <v>162</v>
      </c>
      <c r="AF181" s="1317">
        <v>15</v>
      </c>
    </row>
    <row r="182" spans="1:32" ht="13.5" customHeight="1" thickTop="1">
      <c r="A182" s="2225" t="s">
        <v>1091</v>
      </c>
      <c r="B182" s="2226" t="s">
        <v>1055</v>
      </c>
      <c r="C182" s="2226"/>
      <c r="D182" s="2227"/>
      <c r="E182" s="2227"/>
      <c r="F182" s="2227"/>
      <c r="G182" s="2227"/>
      <c r="H182" s="2227"/>
      <c r="I182" s="2227"/>
      <c r="J182" s="2227"/>
      <c r="K182" s="2227"/>
      <c r="L182" s="2228"/>
      <c r="M182" s="2229"/>
      <c r="O182" s="2230"/>
      <c r="P182" s="58"/>
      <c r="Q182" s="2145"/>
      <c r="R182" s="2145"/>
      <c r="S182" s="58"/>
      <c r="T182" s="82"/>
      <c r="U182" s="2145"/>
      <c r="V182" s="2231"/>
      <c r="W182" s="2232"/>
      <c r="X182" s="2232"/>
      <c r="Y182" s="2232"/>
      <c r="Z182" s="2232"/>
      <c r="AA182" s="2232"/>
      <c r="AB182" s="2233"/>
      <c r="AC182" s="2232"/>
      <c r="AD182" s="2145"/>
      <c r="AE182" s="2231"/>
      <c r="AF182" s="2234"/>
    </row>
    <row r="183" spans="1:32" ht="12" customHeight="1">
      <c r="A183" s="1864"/>
      <c r="B183" s="2002"/>
      <c r="C183" s="2002"/>
      <c r="D183" s="1817" t="s">
        <v>1051</v>
      </c>
      <c r="E183" s="1817" t="s">
        <v>1053</v>
      </c>
      <c r="F183" s="1817" t="s">
        <v>1052</v>
      </c>
      <c r="G183" s="2235"/>
      <c r="H183" s="3057"/>
      <c r="I183" s="3058"/>
      <c r="J183" s="2236" t="s">
        <v>1106</v>
      </c>
      <c r="K183" s="2237" t="s">
        <v>73</v>
      </c>
      <c r="L183" s="3069" t="s">
        <v>521</v>
      </c>
      <c r="M183" s="3070"/>
      <c r="O183" s="2238"/>
      <c r="R183" s="2239" t="s">
        <v>324</v>
      </c>
      <c r="S183"/>
      <c r="T183"/>
      <c r="U183"/>
      <c r="V183"/>
      <c r="W183"/>
      <c r="X183"/>
      <c r="Y183"/>
      <c r="AF183" s="2234"/>
    </row>
    <row r="184" spans="1:32" ht="14.25" customHeight="1">
      <c r="A184" s="2298" t="s">
        <v>1056</v>
      </c>
      <c r="B184" s="1977" t="s">
        <v>1045</v>
      </c>
      <c r="C184" s="2217"/>
      <c r="D184" s="2303">
        <v>3</v>
      </c>
      <c r="E184" s="1789">
        <v>1</v>
      </c>
      <c r="F184" s="1789">
        <v>1</v>
      </c>
      <c r="G184" s="1834" t="s">
        <v>16</v>
      </c>
      <c r="H184" s="3059"/>
      <c r="I184" s="3060"/>
      <c r="J184" s="2110">
        <f>D184</f>
        <v>3</v>
      </c>
      <c r="K184" s="2241">
        <f>F184</f>
        <v>1</v>
      </c>
      <c r="L184" s="3063">
        <f>D184*E184/F184</f>
        <v>3</v>
      </c>
      <c r="M184" s="3064"/>
      <c r="O184" s="108"/>
      <c r="P184"/>
      <c r="Q184"/>
      <c r="R184"/>
      <c r="S184" s="2242" t="s">
        <v>922</v>
      </c>
      <c r="T184" s="2121"/>
      <c r="U184"/>
      <c r="V184" s="2121"/>
      <c r="W184" s="2243" t="s">
        <v>290</v>
      </c>
      <c r="X184" s="2121"/>
      <c r="Y184" s="2121"/>
      <c r="Z184" s="2121"/>
      <c r="AA184"/>
      <c r="AB184"/>
      <c r="AC184"/>
      <c r="AD184"/>
      <c r="AE184"/>
      <c r="AF184" s="102"/>
    </row>
    <row r="185" spans="1:32" ht="14.25" customHeight="1">
      <c r="A185" s="2298" t="s">
        <v>1058</v>
      </c>
      <c r="B185" s="1977" t="s">
        <v>1046</v>
      </c>
      <c r="C185" s="2217"/>
      <c r="D185" s="2303">
        <v>2</v>
      </c>
      <c r="E185" s="1789">
        <v>1</v>
      </c>
      <c r="F185" s="1789">
        <v>2</v>
      </c>
      <c r="G185" s="2244" t="s">
        <v>17</v>
      </c>
      <c r="H185" s="3059"/>
      <c r="I185" s="3060"/>
      <c r="J185" s="2110">
        <f t="shared" ref="J185:J190" si="4">D185</f>
        <v>2</v>
      </c>
      <c r="K185" s="2241">
        <f t="shared" ref="K185:K190" si="5">F185</f>
        <v>2</v>
      </c>
      <c r="L185" s="3063">
        <f t="shared" ref="L185:L189" si="6">D185*E185/F185</f>
        <v>1</v>
      </c>
      <c r="M185" s="3064"/>
      <c r="O185" s="2240"/>
      <c r="R185" s="65" t="s">
        <v>316</v>
      </c>
      <c r="S185" s="1318">
        <v>10</v>
      </c>
      <c r="T185" s="2245" t="str">
        <f>IF(S185&gt;90,"input is &gt;90","")</f>
        <v/>
      </c>
      <c r="V185" s="2246"/>
      <c r="W185" s="2246"/>
      <c r="X185" s="2247" t="str">
        <f>IF(S185="","",IF(S186&gt;'Parameter tables'!AF176,'Parameter tables'!O175,IF(S186&gt;='Parameter tables'!AD177,'Parameter tables'!O177,IF(S186&gt;='Parameter tables'!AD178,'Parameter tables'!O178,IF(S186&gt;='Parameter tables'!AD180,'Parameter tables'!O180,'Parameter tables'!O181)))))</f>
        <v>Very favourable</v>
      </c>
      <c r="Y185" s="84" t="s">
        <v>209</v>
      </c>
      <c r="AF185" s="2234"/>
    </row>
    <row r="186" spans="1:32" ht="12" customHeight="1">
      <c r="A186" s="2298" t="s">
        <v>1057</v>
      </c>
      <c r="B186" s="1977" t="s">
        <v>1047</v>
      </c>
      <c r="C186" s="2217"/>
      <c r="D186" s="2303">
        <v>1</v>
      </c>
      <c r="E186" s="1789">
        <v>1</v>
      </c>
      <c r="F186" s="2303">
        <v>4</v>
      </c>
      <c r="G186" s="1834" t="s">
        <v>20</v>
      </c>
      <c r="H186" s="3059"/>
      <c r="I186" s="3060"/>
      <c r="J186" s="2110">
        <f t="shared" si="4"/>
        <v>1</v>
      </c>
      <c r="K186" s="2241">
        <f t="shared" si="5"/>
        <v>4</v>
      </c>
      <c r="L186" s="3065">
        <f t="shared" si="6"/>
        <v>0.25</v>
      </c>
      <c r="M186" s="3066"/>
      <c r="N186" s="2248"/>
      <c r="O186" s="2240"/>
      <c r="R186" s="65" t="s">
        <v>317</v>
      </c>
      <c r="S186" s="1318">
        <v>70</v>
      </c>
      <c r="T186" s="2245" t="str">
        <f>IF(S186&gt;90,"input is &gt;90","")</f>
        <v/>
      </c>
      <c r="V186" s="2249"/>
      <c r="W186" s="2250"/>
      <c r="X186" s="2251" t="str">
        <f>IF(S186="","",IF(S186&lt;V175,O175,IF(S185&gt;'Parameter tables'!S176,'Parameter tables'!O175,IF(AND(S185&lt;'Parameter tables'!S177,S186&lt;'Parameter tables'!V177,S186&gt;'Parameter tables'!T177),'Parameter tables'!O177,IF(AND(S185&lt;'Parameter tables'!S178,S186&lt;='Parameter tables'!V178,S186&gt;='Parameter tables'!T178),'Parameter tables'!O178,IF(AND(S185&lt;='Parameter tables'!S179,S185&gt;='Parameter tables'!Q179,S186&lt;'Parameter tables'!V179),'Parameter tables'!O178,IF(AND(S185&lt;='Parameter tables'!S180,S185&gt;='Parameter tables'!Q180,S186&lt;='Parameter tables'!V180,S186&gt;='Parameter tables'!T180),'Parameter tables'!O180,IF(AND(S185&lt;'Parameter tables'!S181,S186&lt;='Parameter tables'!V181,S186&gt;='Parameter tables'!T181),'Parameter tables'!O181,"?"))))))))</f>
        <v>Very unfavourable</v>
      </c>
      <c r="Y186" s="85" t="s">
        <v>291</v>
      </c>
      <c r="AF186" s="2234"/>
    </row>
    <row r="187" spans="1:32" ht="12" customHeight="1">
      <c r="A187" s="2298" t="s">
        <v>1060</v>
      </c>
      <c r="B187" s="1977" t="s">
        <v>1048</v>
      </c>
      <c r="C187" s="2217"/>
      <c r="D187" s="2303">
        <v>1</v>
      </c>
      <c r="E187" s="1789">
        <v>1</v>
      </c>
      <c r="F187" s="1789">
        <v>4</v>
      </c>
      <c r="G187" s="1834" t="s">
        <v>22</v>
      </c>
      <c r="H187" s="3059"/>
      <c r="I187" s="3060"/>
      <c r="J187" s="2110">
        <f t="shared" si="4"/>
        <v>1</v>
      </c>
      <c r="K187" s="2241">
        <f t="shared" si="5"/>
        <v>4</v>
      </c>
      <c r="L187" s="3065">
        <f t="shared" si="6"/>
        <v>0.25</v>
      </c>
      <c r="M187" s="3066"/>
      <c r="N187" s="2252"/>
      <c r="O187" s="2240"/>
      <c r="R187" s="63"/>
      <c r="S187" s="63"/>
      <c r="T187" s="63"/>
      <c r="V187" s="2250"/>
      <c r="W187" s="2250"/>
      <c r="X187" s="2251" t="str">
        <f>IF(S186="","",IF(S186&lt;AB175,O175,IF(S185&gt;'Parameter tables'!Y176,'Parameter tables'!O175,IF(AND(S185&lt;'Parameter tables'!Y177,S186&lt;'Parameter tables'!AB177),'Parameter tables'!O177,IF(AND(S185&lt;'Parameter tables'!Y178,S186&lt;='Parameter tables'!AB178),'Parameter tables'!O178,IF(AND(S185&lt;='Parameter tables'!Y179,S185&gt;='Parameter tables'!W179),'Parameter tables'!O178,IF(AND(S185&lt;'Parameter tables'!Y180,S186&gt;'Parameter tables'!AB180),'Parameter tables'!O180,"?")))))))</f>
        <v>Unfavourable</v>
      </c>
      <c r="Y187" s="86" t="s">
        <v>327</v>
      </c>
      <c r="Z187" s="2253"/>
      <c r="AF187" s="2234"/>
    </row>
    <row r="188" spans="1:32" ht="12" customHeight="1">
      <c r="A188" s="2298" t="s">
        <v>1061</v>
      </c>
      <c r="B188" s="1977" t="s">
        <v>1049</v>
      </c>
      <c r="C188" s="2217"/>
      <c r="D188" s="2303">
        <v>1</v>
      </c>
      <c r="E188" s="1789">
        <v>1</v>
      </c>
      <c r="F188" s="1789">
        <v>6</v>
      </c>
      <c r="G188" s="1834" t="s">
        <v>24</v>
      </c>
      <c r="H188" s="3059"/>
      <c r="I188" s="3060"/>
      <c r="J188" s="2110">
        <f t="shared" si="4"/>
        <v>1</v>
      </c>
      <c r="K188" s="2241">
        <f t="shared" si="5"/>
        <v>6</v>
      </c>
      <c r="L188" s="3065">
        <f t="shared" si="6"/>
        <v>0.16666666666666666</v>
      </c>
      <c r="M188" s="3066"/>
      <c r="N188" s="2254"/>
      <c r="O188" s="2240"/>
      <c r="R188" s="2255" t="s">
        <v>923</v>
      </c>
      <c r="AF188" s="2234"/>
    </row>
    <row r="189" spans="1:32" ht="12" customHeight="1">
      <c r="A189" s="2298" t="s">
        <v>1062</v>
      </c>
      <c r="B189" s="1977" t="s">
        <v>1054</v>
      </c>
      <c r="C189" s="2217"/>
      <c r="D189" s="2303">
        <v>1</v>
      </c>
      <c r="E189" s="1789">
        <v>1</v>
      </c>
      <c r="F189" s="1789">
        <v>8</v>
      </c>
      <c r="G189" s="1834" t="s">
        <v>26</v>
      </c>
      <c r="H189" s="3059"/>
      <c r="I189" s="3060"/>
      <c r="J189" s="2110">
        <f t="shared" si="4"/>
        <v>1</v>
      </c>
      <c r="K189" s="2241">
        <f t="shared" si="5"/>
        <v>8</v>
      </c>
      <c r="L189" s="3065">
        <f t="shared" si="6"/>
        <v>0.125</v>
      </c>
      <c r="M189" s="3066"/>
      <c r="N189" s="2252"/>
      <c r="O189" s="2256"/>
      <c r="P189" s="1905"/>
      <c r="Q189" s="1905"/>
      <c r="R189" s="1905"/>
      <c r="S189" s="1905"/>
      <c r="T189" s="1905"/>
      <c r="U189" s="1905"/>
      <c r="V189" s="1905"/>
      <c r="W189" s="1905"/>
      <c r="X189" s="1905"/>
      <c r="Y189" s="1905"/>
      <c r="Z189" s="1905"/>
      <c r="AA189" s="1905"/>
      <c r="AB189" s="1905"/>
      <c r="AC189" s="1905"/>
      <c r="AD189" s="1905"/>
      <c r="AE189" s="1905"/>
      <c r="AF189" s="2257"/>
    </row>
    <row r="190" spans="1:32" ht="12" customHeight="1">
      <c r="A190" s="1878"/>
      <c r="B190" s="2258" t="s">
        <v>1050</v>
      </c>
      <c r="C190" s="2259"/>
      <c r="D190" s="2304">
        <v>1</v>
      </c>
      <c r="E190" s="2305">
        <v>1</v>
      </c>
      <c r="F190" s="2304">
        <v>16</v>
      </c>
      <c r="G190" s="1915" t="s">
        <v>28</v>
      </c>
      <c r="H190" s="3061"/>
      <c r="I190" s="3062"/>
      <c r="J190" s="2113">
        <f t="shared" si="4"/>
        <v>1</v>
      </c>
      <c r="K190" s="2260">
        <f t="shared" si="5"/>
        <v>16</v>
      </c>
      <c r="L190" s="3067" t="s">
        <v>1001</v>
      </c>
      <c r="M190" s="3068"/>
    </row>
    <row r="191" spans="1:32" ht="13.5" customHeight="1" thickBot="1"/>
    <row r="192" spans="1:32" ht="12" customHeight="1">
      <c r="A192" s="1806" t="s">
        <v>1012</v>
      </c>
      <c r="B192" s="2261" t="s">
        <v>1006</v>
      </c>
      <c r="C192" s="1860"/>
      <c r="D192" s="1860"/>
      <c r="E192" s="1860"/>
      <c r="F192" s="1861"/>
      <c r="G192" s="3048" t="s">
        <v>259</v>
      </c>
      <c r="H192" s="3198" t="s">
        <v>410</v>
      </c>
      <c r="I192" s="3199"/>
      <c r="J192" s="3213" t="s">
        <v>0</v>
      </c>
      <c r="K192" s="3199"/>
      <c r="L192" s="3213" t="s">
        <v>1</v>
      </c>
      <c r="M192" s="3214"/>
      <c r="N192" s="75"/>
    </row>
    <row r="193" spans="1:24" customFormat="1" ht="12" customHeight="1">
      <c r="A193" s="1810"/>
      <c r="B193" s="1811"/>
      <c r="C193" s="2262" t="s">
        <v>1000</v>
      </c>
      <c r="D193" s="1811"/>
      <c r="E193" s="1811"/>
      <c r="F193" s="1812"/>
      <c r="G193" s="3049"/>
      <c r="H193" s="3050" t="s">
        <v>56</v>
      </c>
      <c r="I193" s="3051"/>
      <c r="J193" s="3052" t="s">
        <v>56</v>
      </c>
      <c r="K193" s="3051"/>
      <c r="L193" s="3052" t="s">
        <v>220</v>
      </c>
      <c r="M193" s="3272"/>
    </row>
    <row r="194" spans="1:24" ht="12" customHeight="1">
      <c r="A194" s="2301" t="s">
        <v>1086</v>
      </c>
      <c r="B194" s="1929" t="s">
        <v>995</v>
      </c>
      <c r="C194" s="66" t="s">
        <v>990</v>
      </c>
      <c r="D194" s="66"/>
      <c r="E194" s="66"/>
      <c r="F194" s="2263"/>
      <c r="G194" s="1834" t="s">
        <v>16</v>
      </c>
      <c r="H194" s="3165" t="s">
        <v>1001</v>
      </c>
      <c r="I194" s="3142"/>
      <c r="J194" s="3141" t="s">
        <v>1001</v>
      </c>
      <c r="K194" s="3142"/>
      <c r="L194" s="3147">
        <v>1</v>
      </c>
      <c r="M194" s="3138"/>
    </row>
    <row r="195" spans="1:24" ht="12" customHeight="1">
      <c r="A195" s="2301" t="s">
        <v>1064</v>
      </c>
      <c r="B195" s="1929" t="s">
        <v>991</v>
      </c>
      <c r="C195" s="60" t="s">
        <v>992</v>
      </c>
      <c r="D195" s="60"/>
      <c r="E195" s="60"/>
      <c r="F195" s="2263"/>
      <c r="G195" s="1834" t="s">
        <v>17</v>
      </c>
      <c r="H195" s="3166"/>
      <c r="I195" s="3144"/>
      <c r="J195" s="3143"/>
      <c r="K195" s="3144"/>
      <c r="L195" s="3169">
        <v>0.8</v>
      </c>
      <c r="M195" s="3193"/>
    </row>
    <row r="196" spans="1:24" ht="12" customHeight="1">
      <c r="A196" s="2302" t="s">
        <v>1087</v>
      </c>
      <c r="B196" s="1935" t="s">
        <v>993</v>
      </c>
      <c r="C196" s="2264" t="s">
        <v>994</v>
      </c>
      <c r="D196" s="2264"/>
      <c r="E196" s="2264"/>
      <c r="F196" s="1989"/>
      <c r="G196" s="2216" t="s">
        <v>20</v>
      </c>
      <c r="H196" s="3170"/>
      <c r="I196" s="3171"/>
      <c r="J196" s="3341"/>
      <c r="K196" s="3171"/>
      <c r="L196" s="3516">
        <v>0.5</v>
      </c>
      <c r="M196" s="3245"/>
    </row>
    <row r="197" spans="1:24" ht="12" customHeight="1" thickBot="1">
      <c r="A197" s="1939"/>
      <c r="B197" s="2265" t="s">
        <v>1005</v>
      </c>
      <c r="C197" s="2266"/>
      <c r="D197" s="2266"/>
      <c r="E197" s="2266"/>
      <c r="F197" s="2266"/>
      <c r="G197" s="2266"/>
      <c r="H197" s="2266"/>
      <c r="I197" s="2266"/>
      <c r="J197" s="2266"/>
      <c r="K197" s="2266"/>
      <c r="L197" s="2266"/>
      <c r="M197" s="2267"/>
      <c r="X197" s="1905"/>
    </row>
    <row r="198" spans="1:24" ht="12" customHeight="1"/>
    <row r="199" spans="1:24" ht="12" customHeight="1">
      <c r="A199" s="1"/>
      <c r="E199" s="2268" t="s">
        <v>918</v>
      </c>
      <c r="F199" s="3692" t="s">
        <v>1013</v>
      </c>
      <c r="G199" s="3692"/>
      <c r="H199" s="3692"/>
      <c r="I199" s="3692"/>
      <c r="J199" s="2269" t="s">
        <v>920</v>
      </c>
      <c r="L199" s="2270"/>
      <c r="M199" s="62"/>
    </row>
    <row r="200" spans="1:24" ht="12" customHeight="1">
      <c r="N200" s="2271"/>
    </row>
    <row r="201" spans="1:24" ht="11.25" customHeight="1">
      <c r="N201" s="2271"/>
    </row>
    <row r="202" spans="1:24" ht="12" customHeight="1">
      <c r="N202" s="2271"/>
    </row>
    <row r="203" spans="1:24" ht="12.75" customHeight="1">
      <c r="N203" s="2271"/>
    </row>
    <row r="204" spans="1:24" ht="12" customHeight="1">
      <c r="A204" s="83"/>
      <c r="N204" s="2271"/>
    </row>
    <row r="205" spans="1:24">
      <c r="A205" s="83"/>
    </row>
    <row r="206" spans="1:24">
      <c r="A206" s="75"/>
    </row>
    <row r="210" spans="1:13">
      <c r="D210" s="3513"/>
      <c r="E210" s="3513"/>
      <c r="F210" s="3513"/>
      <c r="L210" s="3513"/>
      <c r="M210" s="3513"/>
    </row>
    <row r="211" spans="1:13">
      <c r="A211" s="2272"/>
      <c r="B211" s="2121"/>
      <c r="C211" s="2121"/>
      <c r="D211" s="3514"/>
      <c r="E211" s="3514"/>
      <c r="F211" s="3514"/>
      <c r="G211" s="2273"/>
      <c r="H211" s="2273"/>
      <c r="I211" s="2273"/>
      <c r="J211" s="2273"/>
      <c r="K211" s="2273"/>
      <c r="L211" s="3515"/>
      <c r="M211" s="3515"/>
    </row>
    <row r="212" spans="1:13">
      <c r="A212" s="2272"/>
      <c r="B212" s="2121"/>
      <c r="C212" s="2121"/>
      <c r="D212" s="2121"/>
      <c r="E212" s="2121"/>
      <c r="F212"/>
      <c r="G212"/>
      <c r="H212"/>
      <c r="I212"/>
      <c r="J212"/>
      <c r="K212"/>
      <c r="L212"/>
      <c r="M212" s="2274"/>
    </row>
    <row r="213" spans="1:13">
      <c r="A213" s="2275"/>
      <c r="B213" s="2121"/>
      <c r="C213" s="2121"/>
      <c r="D213" s="2121"/>
      <c r="E213" s="2121"/>
      <c r="F213" s="2274"/>
      <c r="G213" s="2274"/>
      <c r="H213" s="2122"/>
      <c r="I213" s="2121"/>
      <c r="J213" s="87"/>
      <c r="K213"/>
      <c r="L213" s="2122"/>
      <c r="M213" s="2274"/>
    </row>
    <row r="214" spans="1:13">
      <c r="A214" s="2272"/>
      <c r="B214" s="2121"/>
      <c r="C214" s="2121"/>
      <c r="D214" s="2121"/>
      <c r="E214" s="2121"/>
      <c r="F214" s="2274"/>
      <c r="G214" s="2274"/>
      <c r="H214" s="2122"/>
      <c r="I214" s="2121"/>
      <c r="J214" s="87"/>
      <c r="K214"/>
      <c r="L214" s="2122"/>
      <c r="M214" s="2274"/>
    </row>
    <row r="215" spans="1:13">
      <c r="A215" s="2272"/>
      <c r="B215" s="2121"/>
      <c r="C215" s="2121"/>
      <c r="D215" s="2121"/>
      <c r="E215" s="2121"/>
      <c r="F215" s="2274"/>
      <c r="G215" s="2274"/>
      <c r="H215" s="2122"/>
      <c r="I215" s="2121"/>
      <c r="J215" s="87"/>
      <c r="K215"/>
      <c r="L215" s="2122"/>
      <c r="M215" s="2274"/>
    </row>
    <row r="216" spans="1:13">
      <c r="A216" s="2272"/>
      <c r="B216" s="2121"/>
      <c r="C216" s="2121"/>
      <c r="D216" s="2121"/>
      <c r="E216" s="2121"/>
      <c r="F216" s="2274"/>
      <c r="G216" s="2274"/>
      <c r="H216" s="2122"/>
      <c r="I216" s="2121"/>
      <c r="J216" s="87"/>
      <c r="K216"/>
      <c r="L216" s="2122"/>
      <c r="M216" s="2122"/>
    </row>
    <row r="217" spans="1:13">
      <c r="A217" s="2272"/>
      <c r="B217" s="2121"/>
      <c r="C217" s="2121"/>
      <c r="D217" s="2121"/>
      <c r="E217" s="2121"/>
      <c r="F217" s="2274"/>
      <c r="G217" s="2274"/>
      <c r="H217" s="2122"/>
      <c r="I217" s="3"/>
      <c r="J217" s="2276"/>
      <c r="K217" s="3"/>
      <c r="L217" s="2277"/>
      <c r="M217" s="2277"/>
    </row>
    <row r="218" spans="1:13">
      <c r="A218" s="2278"/>
      <c r="B218" s="2121"/>
      <c r="C218" s="2121"/>
      <c r="D218" s="2121"/>
      <c r="E218" s="2121"/>
      <c r="F218" s="2122"/>
      <c r="G218" s="2121"/>
      <c r="H218" s="2121"/>
      <c r="I218" s="2121"/>
      <c r="J218" s="2121"/>
      <c r="K218" s="2121"/>
      <c r="L218" s="2122"/>
      <c r="M218" s="2121"/>
    </row>
    <row r="219" spans="1:13">
      <c r="A219"/>
      <c r="B219" s="2121"/>
      <c r="C219" s="2121"/>
      <c r="D219" s="2121"/>
      <c r="E219" s="2121"/>
      <c r="F219" s="2122"/>
      <c r="G219" s="2121"/>
      <c r="H219" s="2121"/>
      <c r="I219" s="2121"/>
      <c r="J219" s="2121"/>
      <c r="K219" s="2121"/>
      <c r="L219" s="2122"/>
      <c r="M219" s="2121"/>
    </row>
    <row r="220" spans="1:13">
      <c r="A220"/>
      <c r="B220" s="2121"/>
      <c r="C220" s="2121"/>
      <c r="D220" s="2121"/>
      <c r="E220" s="2121"/>
      <c r="F220" s="2122"/>
      <c r="G220" s="2121"/>
      <c r="H220" s="2121"/>
      <c r="I220" s="2121"/>
      <c r="J220" s="2121"/>
      <c r="K220" s="2121"/>
      <c r="L220" s="2122"/>
      <c r="M220" s="2121"/>
    </row>
    <row r="221" spans="1:13">
      <c r="A221"/>
      <c r="B221" s="2121"/>
      <c r="C221" s="2121"/>
      <c r="D221" s="2121"/>
      <c r="E221" s="2121"/>
      <c r="F221" s="2122"/>
      <c r="G221" s="2121"/>
      <c r="H221" s="2121"/>
      <c r="I221" s="2121"/>
      <c r="J221" s="2121"/>
      <c r="K221" s="2121"/>
      <c r="L221" s="2122"/>
      <c r="M221" s="2121"/>
    </row>
    <row r="222" spans="1:13">
      <c r="A222" s="2272"/>
      <c r="B222" s="2279"/>
      <c r="C222"/>
      <c r="D222"/>
      <c r="E222"/>
      <c r="F222"/>
      <c r="G222"/>
      <c r="H222" s="2279"/>
      <c r="I222"/>
      <c r="J222"/>
      <c r="K222"/>
      <c r="L222"/>
      <c r="M222" s="3"/>
    </row>
  </sheetData>
  <sheetProtection algorithmName="SHA-512" hashValue="UpPFotCjWn4KmNimV+667vT7E7qxE9a7EGyT5vVYnconWIk1Y9kyfGLyTRpyxDBirtP+ZyBn+EjGyKlywgUg5w==" saltValue="lZjNzIdBgSRvUAh/EnZklg==" spinCount="100000" sheet="1" formatCells="0"/>
  <mergeCells count="597">
    <mergeCell ref="F199:I199"/>
    <mergeCell ref="S170:T170"/>
    <mergeCell ref="O165:R166"/>
    <mergeCell ref="O177:P177"/>
    <mergeCell ref="O178:P179"/>
    <mergeCell ref="H175:I175"/>
    <mergeCell ref="J175:K175"/>
    <mergeCell ref="H194:I196"/>
    <mergeCell ref="J194:K196"/>
    <mergeCell ref="H192:I192"/>
    <mergeCell ref="J192:K192"/>
    <mergeCell ref="L195:M195"/>
    <mergeCell ref="L196:M196"/>
    <mergeCell ref="L192:M192"/>
    <mergeCell ref="L193:M193"/>
    <mergeCell ref="L194:M194"/>
    <mergeCell ref="B176:F176"/>
    <mergeCell ref="B180:F180"/>
    <mergeCell ref="B179:F179"/>
    <mergeCell ref="B178:F178"/>
    <mergeCell ref="B177:F177"/>
    <mergeCell ref="L179:M179"/>
    <mergeCell ref="L178:M178"/>
    <mergeCell ref="L177:M177"/>
    <mergeCell ref="U166:W166"/>
    <mergeCell ref="T161:U161"/>
    <mergeCell ref="W173:AB173"/>
    <mergeCell ref="J167:K167"/>
    <mergeCell ref="H173:I173"/>
    <mergeCell ref="J173:K173"/>
    <mergeCell ref="L173:M173"/>
    <mergeCell ref="O173:P174"/>
    <mergeCell ref="O175:P176"/>
    <mergeCell ref="H176:I180"/>
    <mergeCell ref="J176:K180"/>
    <mergeCell ref="Q173:V173"/>
    <mergeCell ref="Q174:S174"/>
    <mergeCell ref="T174:V174"/>
    <mergeCell ref="Q175:S175"/>
    <mergeCell ref="Z179:AB179"/>
    <mergeCell ref="Z176:AB176"/>
    <mergeCell ref="L175:M175"/>
    <mergeCell ref="AB169:AC169"/>
    <mergeCell ref="S165:T165"/>
    <mergeCell ref="S166:T166"/>
    <mergeCell ref="S167:T167"/>
    <mergeCell ref="S168:T168"/>
    <mergeCell ref="S169:T169"/>
    <mergeCell ref="AC173:AF173"/>
    <mergeCell ref="W174:Y174"/>
    <mergeCell ref="Z174:AB174"/>
    <mergeCell ref="AD174:AF174"/>
    <mergeCell ref="AF178:AF179"/>
    <mergeCell ref="AD178:AD179"/>
    <mergeCell ref="AE178:AE179"/>
    <mergeCell ref="AC175:AC181"/>
    <mergeCell ref="AC82:AF82"/>
    <mergeCell ref="W82:AB82"/>
    <mergeCell ref="U165:W165"/>
    <mergeCell ref="AB168:AC168"/>
    <mergeCell ref="AB167:AC167"/>
    <mergeCell ref="AD166:AE166"/>
    <mergeCell ref="X166:Y166"/>
    <mergeCell ref="Z166:AA166"/>
    <mergeCell ref="X167:Y167"/>
    <mergeCell ref="Z167:AA167"/>
    <mergeCell ref="Z170:AA170"/>
    <mergeCell ref="AB170:AC170"/>
    <mergeCell ref="AD170:AE170"/>
    <mergeCell ref="X170:Y170"/>
    <mergeCell ref="X165:AC165"/>
    <mergeCell ref="Q82:V82"/>
    <mergeCell ref="T83:V83"/>
    <mergeCell ref="W83:Y83"/>
    <mergeCell ref="Z83:AB83"/>
    <mergeCell ref="AD83:AF83"/>
    <mergeCell ref="X161:Y161"/>
    <mergeCell ref="AD161:AF161"/>
    <mergeCell ref="S156:T156"/>
    <mergeCell ref="AF87:AF88"/>
    <mergeCell ref="P146:Q147"/>
    <mergeCell ref="Q115:R116"/>
    <mergeCell ref="O113:R114"/>
    <mergeCell ref="O118:P118"/>
    <mergeCell ref="Q118:R118"/>
    <mergeCell ref="Q117:R117"/>
    <mergeCell ref="U119:X119"/>
    <mergeCell ref="O115:P116"/>
    <mergeCell ref="O119:P119"/>
    <mergeCell ref="B89:C89"/>
    <mergeCell ref="B77:C77"/>
    <mergeCell ref="H68:I72"/>
    <mergeCell ref="Z55:AA55"/>
    <mergeCell ref="O73:Q73"/>
    <mergeCell ref="O50:Q56"/>
    <mergeCell ref="L130:M130"/>
    <mergeCell ref="H99:I99"/>
    <mergeCell ref="L97:M97"/>
    <mergeCell ref="H97:I97"/>
    <mergeCell ref="O117:P117"/>
    <mergeCell ref="Q119:R119"/>
    <mergeCell ref="H58:I58"/>
    <mergeCell ref="Q120:R120"/>
    <mergeCell ref="L73:M73"/>
    <mergeCell ref="L75:M75"/>
    <mergeCell ref="L76:M76"/>
    <mergeCell ref="J95:K95"/>
    <mergeCell ref="L86:M86"/>
    <mergeCell ref="L94:M94"/>
    <mergeCell ref="L95:M95"/>
    <mergeCell ref="L104:M104"/>
    <mergeCell ref="L103:M103"/>
    <mergeCell ref="J104:K104"/>
    <mergeCell ref="H74:I82"/>
    <mergeCell ref="J75:K75"/>
    <mergeCell ref="L79:M79"/>
    <mergeCell ref="B152:B155"/>
    <mergeCell ref="L157:M157"/>
    <mergeCell ref="O32:Q38"/>
    <mergeCell ref="O41:Q47"/>
    <mergeCell ref="L43:M43"/>
    <mergeCell ref="J34:K34"/>
    <mergeCell ref="H40:I40"/>
    <mergeCell ref="H38:I38"/>
    <mergeCell ref="J38:K38"/>
    <mergeCell ref="L45:M45"/>
    <mergeCell ref="L46:M46"/>
    <mergeCell ref="H41:I47"/>
    <mergeCell ref="J152:K153"/>
    <mergeCell ref="B80:C80"/>
    <mergeCell ref="B69:C69"/>
    <mergeCell ref="B78:C78"/>
    <mergeCell ref="L88:M88"/>
    <mergeCell ref="L91:M91"/>
    <mergeCell ref="J91:K91"/>
    <mergeCell ref="Q83:S83"/>
    <mergeCell ref="B88:C88"/>
    <mergeCell ref="H86:I86"/>
    <mergeCell ref="H88:I88"/>
    <mergeCell ref="J74:K74"/>
    <mergeCell ref="J73:K73"/>
    <mergeCell ref="L87:M87"/>
    <mergeCell ref="L89:M89"/>
    <mergeCell ref="B51:B52"/>
    <mergeCell ref="B53:B54"/>
    <mergeCell ref="H67:I67"/>
    <mergeCell ref="J67:K67"/>
    <mergeCell ref="H63:I63"/>
    <mergeCell ref="D58:F58"/>
    <mergeCell ref="L57:M57"/>
    <mergeCell ref="B79:C79"/>
    <mergeCell ref="J68:K72"/>
    <mergeCell ref="H85:I85"/>
    <mergeCell ref="J80:K80"/>
    <mergeCell ref="J76:K76"/>
    <mergeCell ref="L80:M80"/>
    <mergeCell ref="L81:M81"/>
    <mergeCell ref="L74:M74"/>
    <mergeCell ref="L82:M82"/>
    <mergeCell ref="J79:K79"/>
    <mergeCell ref="J82:K82"/>
    <mergeCell ref="L42:M42"/>
    <mergeCell ref="L59:M63"/>
    <mergeCell ref="H49:I49"/>
    <mergeCell ref="L49:M49"/>
    <mergeCell ref="J49:K49"/>
    <mergeCell ref="J59:K63"/>
    <mergeCell ref="B48:M48"/>
    <mergeCell ref="H61:I61"/>
    <mergeCell ref="L50:M56"/>
    <mergeCell ref="L58:M58"/>
    <mergeCell ref="J58:K58"/>
    <mergeCell ref="D49:F49"/>
    <mergeCell ref="H57:I57"/>
    <mergeCell ref="H50:I56"/>
    <mergeCell ref="B58:C58"/>
    <mergeCell ref="J50:K56"/>
    <mergeCell ref="H59:I59"/>
    <mergeCell ref="H62:I62"/>
    <mergeCell ref="D210:F211"/>
    <mergeCell ref="L210:M210"/>
    <mergeCell ref="L211:M211"/>
    <mergeCell ref="J165:K165"/>
    <mergeCell ref="J159:K159"/>
    <mergeCell ref="J170:K170"/>
    <mergeCell ref="J169:K169"/>
    <mergeCell ref="AB166:AC166"/>
    <mergeCell ref="Z161:AA161"/>
    <mergeCell ref="H167:I170"/>
    <mergeCell ref="J168:K168"/>
    <mergeCell ref="Q162:S162"/>
    <mergeCell ref="B165:F165"/>
    <mergeCell ref="H165:I165"/>
    <mergeCell ref="C160:F160"/>
    <mergeCell ref="B158:B160"/>
    <mergeCell ref="B161:C162"/>
    <mergeCell ref="D161:F161"/>
    <mergeCell ref="D158:F158"/>
    <mergeCell ref="U170:W170"/>
    <mergeCell ref="J160:K160"/>
    <mergeCell ref="B175:F175"/>
    <mergeCell ref="W175:Y175"/>
    <mergeCell ref="T176:V176"/>
    <mergeCell ref="B151:F151"/>
    <mergeCell ref="V161:W161"/>
    <mergeCell ref="Q152:R154"/>
    <mergeCell ref="Q155:R155"/>
    <mergeCell ref="Q156:R156"/>
    <mergeCell ref="S152:T154"/>
    <mergeCell ref="S155:T155"/>
    <mergeCell ref="Q161:S161"/>
    <mergeCell ref="U152:W154"/>
    <mergeCell ref="D159:F159"/>
    <mergeCell ref="C154:F154"/>
    <mergeCell ref="O150:O151"/>
    <mergeCell ref="Q150:W150"/>
    <mergeCell ref="Q151:W151"/>
    <mergeCell ref="U155:W155"/>
    <mergeCell ref="U156:W156"/>
    <mergeCell ref="J150:K150"/>
    <mergeCell ref="C155:F155"/>
    <mergeCell ref="L152:M152"/>
    <mergeCell ref="L153:M153"/>
    <mergeCell ref="L150:M150"/>
    <mergeCell ref="L151:M151"/>
    <mergeCell ref="B157:F157"/>
    <mergeCell ref="C152:F152"/>
    <mergeCell ref="H127:I127"/>
    <mergeCell ref="L113:M113"/>
    <mergeCell ref="B140:C140"/>
    <mergeCell ref="L123:M123"/>
    <mergeCell ref="D116:F116"/>
    <mergeCell ref="D140:F140"/>
    <mergeCell ref="B127:C127"/>
    <mergeCell ref="G139:G140"/>
    <mergeCell ref="D127:F127"/>
    <mergeCell ref="H125:I126"/>
    <mergeCell ref="L125:M125"/>
    <mergeCell ref="A109:A114"/>
    <mergeCell ref="H113:I113"/>
    <mergeCell ref="J110:K110"/>
    <mergeCell ref="B110:F110"/>
    <mergeCell ref="H101:I106"/>
    <mergeCell ref="J108:K108"/>
    <mergeCell ref="F107:M107"/>
    <mergeCell ref="L102:M102"/>
    <mergeCell ref="J105:K105"/>
    <mergeCell ref="J103:K103"/>
    <mergeCell ref="B111:F111"/>
    <mergeCell ref="B101:F101"/>
    <mergeCell ref="L111:M111"/>
    <mergeCell ref="B109:F109"/>
    <mergeCell ref="B108:F108"/>
    <mergeCell ref="L109:M109"/>
    <mergeCell ref="H112:I112"/>
    <mergeCell ref="B102:F102"/>
    <mergeCell ref="H114:I114"/>
    <mergeCell ref="L101:M101"/>
    <mergeCell ref="B114:F114"/>
    <mergeCell ref="L112:M112"/>
    <mergeCell ref="L106:M106"/>
    <mergeCell ref="O19:Q28"/>
    <mergeCell ref="O59:Q63"/>
    <mergeCell ref="O72:W72"/>
    <mergeCell ref="R73:V73"/>
    <mergeCell ref="L84:M84"/>
    <mergeCell ref="L44:M44"/>
    <mergeCell ref="L105:M105"/>
    <mergeCell ref="C22:M23"/>
    <mergeCell ref="C24:M25"/>
    <mergeCell ref="L99:M99"/>
    <mergeCell ref="B81:C81"/>
    <mergeCell ref="B85:C85"/>
    <mergeCell ref="B76:C76"/>
    <mergeCell ref="L41:M41"/>
    <mergeCell ref="H89:I89"/>
    <mergeCell ref="J66:K66"/>
    <mergeCell ref="L66:M66"/>
    <mergeCell ref="J57:K57"/>
    <mergeCell ref="J40:K40"/>
    <mergeCell ref="L32:M38"/>
    <mergeCell ref="B40:F40"/>
    <mergeCell ref="J41:K47"/>
    <mergeCell ref="J37:K37"/>
    <mergeCell ref="L47:M47"/>
    <mergeCell ref="B5:F5"/>
    <mergeCell ref="H5:I5"/>
    <mergeCell ref="J5:K5"/>
    <mergeCell ref="B4:F4"/>
    <mergeCell ref="L13:M13"/>
    <mergeCell ref="L14:M14"/>
    <mergeCell ref="B10:B17"/>
    <mergeCell ref="H16:I16"/>
    <mergeCell ref="L16:M16"/>
    <mergeCell ref="L4:M4"/>
    <mergeCell ref="H10:I10"/>
    <mergeCell ref="L10:M10"/>
    <mergeCell ref="J4:K4"/>
    <mergeCell ref="H4:I4"/>
    <mergeCell ref="L5:M5"/>
    <mergeCell ref="G4:G5"/>
    <mergeCell ref="H12:I12"/>
    <mergeCell ref="C13:C14"/>
    <mergeCell ref="H9:I9"/>
    <mergeCell ref="H6:I8"/>
    <mergeCell ref="C15:C16"/>
    <mergeCell ref="J6:K17"/>
    <mergeCell ref="L40:M40"/>
    <mergeCell ref="H11:I11"/>
    <mergeCell ref="L11:M11"/>
    <mergeCell ref="L12:M12"/>
    <mergeCell ref="C45:C46"/>
    <mergeCell ref="L30:M30"/>
    <mergeCell ref="H15:I15"/>
    <mergeCell ref="H13:I13"/>
    <mergeCell ref="H30:I30"/>
    <mergeCell ref="H36:I36"/>
    <mergeCell ref="B30:F30"/>
    <mergeCell ref="B39:M39"/>
    <mergeCell ref="H14:I14"/>
    <mergeCell ref="G30:G31"/>
    <mergeCell ref="B20:B21"/>
    <mergeCell ref="H17:I17"/>
    <mergeCell ref="C19:M19"/>
    <mergeCell ref="C28:M28"/>
    <mergeCell ref="C20:M21"/>
    <mergeCell ref="B26:B27"/>
    <mergeCell ref="L17:M17"/>
    <mergeCell ref="J30:K30"/>
    <mergeCell ref="H34:I34"/>
    <mergeCell ref="L15:M15"/>
    <mergeCell ref="B22:B23"/>
    <mergeCell ref="J35:K35"/>
    <mergeCell ref="J36:K36"/>
    <mergeCell ref="B37:C38"/>
    <mergeCell ref="L31:M31"/>
    <mergeCell ref="H32:I32"/>
    <mergeCell ref="B31:C31"/>
    <mergeCell ref="H35:I35"/>
    <mergeCell ref="H33:I33"/>
    <mergeCell ref="H37:I37"/>
    <mergeCell ref="B24:B25"/>
    <mergeCell ref="C26:M27"/>
    <mergeCell ref="H31:I31"/>
    <mergeCell ref="J31:K31"/>
    <mergeCell ref="J32:K32"/>
    <mergeCell ref="J33:K33"/>
    <mergeCell ref="A50:A56"/>
    <mergeCell ref="C41:C42"/>
    <mergeCell ref="B32:B33"/>
    <mergeCell ref="B166:F166"/>
    <mergeCell ref="B163:M163"/>
    <mergeCell ref="L165:M165"/>
    <mergeCell ref="J144:K144"/>
    <mergeCell ref="J132:K132"/>
    <mergeCell ref="H142:I142"/>
    <mergeCell ref="J124:K130"/>
    <mergeCell ref="L166:M166"/>
    <mergeCell ref="J166:K166"/>
    <mergeCell ref="H166:I166"/>
    <mergeCell ref="D162:F162"/>
    <mergeCell ref="G165:G166"/>
    <mergeCell ref="H151:I151"/>
    <mergeCell ref="B129:C129"/>
    <mergeCell ref="B147:C147"/>
    <mergeCell ref="H135:I135"/>
    <mergeCell ref="A32:A38"/>
    <mergeCell ref="B41:B42"/>
    <mergeCell ref="B95:F95"/>
    <mergeCell ref="B97:F97"/>
    <mergeCell ref="B45:B46"/>
    <mergeCell ref="B92:F92"/>
    <mergeCell ref="B93:F93"/>
    <mergeCell ref="J77:K77"/>
    <mergeCell ref="J78:K78"/>
    <mergeCell ref="H84:I84"/>
    <mergeCell ref="J81:K81"/>
    <mergeCell ref="G91:G92"/>
    <mergeCell ref="J92:K92"/>
    <mergeCell ref="H60:I60"/>
    <mergeCell ref="B73:C73"/>
    <mergeCell ref="B70:C70"/>
    <mergeCell ref="B71:C71"/>
    <mergeCell ref="B72:C72"/>
    <mergeCell ref="B86:C86"/>
    <mergeCell ref="B75:C75"/>
    <mergeCell ref="J84:K84"/>
    <mergeCell ref="H66:I66"/>
    <mergeCell ref="B82:C82"/>
    <mergeCell ref="B74:C74"/>
    <mergeCell ref="B87:C87"/>
    <mergeCell ref="B68:C68"/>
    <mergeCell ref="H73:I73"/>
    <mergeCell ref="B84:F84"/>
    <mergeCell ref="H93:I93"/>
    <mergeCell ref="B91:F91"/>
    <mergeCell ref="B64:M64"/>
    <mergeCell ref="D146:F147"/>
    <mergeCell ref="L96:M96"/>
    <mergeCell ref="H98:I98"/>
    <mergeCell ref="H96:I96"/>
    <mergeCell ref="J102:K102"/>
    <mergeCell ref="J101:K101"/>
    <mergeCell ref="J100:K100"/>
    <mergeCell ref="B126:C126"/>
    <mergeCell ref="H115:I115"/>
    <mergeCell ref="J99:K99"/>
    <mergeCell ref="D126:F126"/>
    <mergeCell ref="B123:F123"/>
    <mergeCell ref="B118:F118"/>
    <mergeCell ref="J112:K112"/>
    <mergeCell ref="J133:K137"/>
    <mergeCell ref="J93:K93"/>
    <mergeCell ref="J96:K96"/>
    <mergeCell ref="L92:M92"/>
    <mergeCell ref="L115:M115"/>
    <mergeCell ref="B96:F96"/>
    <mergeCell ref="B132:C132"/>
    <mergeCell ref="H132:I132"/>
    <mergeCell ref="H141:I141"/>
    <mergeCell ref="B128:C128"/>
    <mergeCell ref="H139:I139"/>
    <mergeCell ref="H130:I130"/>
    <mergeCell ref="H129:I129"/>
    <mergeCell ref="D129:F129"/>
    <mergeCell ref="D130:F130"/>
    <mergeCell ref="A131:M131"/>
    <mergeCell ref="L132:M132"/>
    <mergeCell ref="L140:M140"/>
    <mergeCell ref="L133:M137"/>
    <mergeCell ref="D141:F142"/>
    <mergeCell ref="B94:F94"/>
    <mergeCell ref="L114:M114"/>
    <mergeCell ref="L126:M126"/>
    <mergeCell ref="B100:F100"/>
    <mergeCell ref="B113:F113"/>
    <mergeCell ref="H100:I100"/>
    <mergeCell ref="J97:K97"/>
    <mergeCell ref="D128:F128"/>
    <mergeCell ref="B130:C130"/>
    <mergeCell ref="B98:F98"/>
    <mergeCell ref="L127:M127"/>
    <mergeCell ref="L98:M98"/>
    <mergeCell ref="J106:K106"/>
    <mergeCell ref="L124:M124"/>
    <mergeCell ref="L128:M128"/>
    <mergeCell ref="L129:M129"/>
    <mergeCell ref="K115:K116"/>
    <mergeCell ref="D125:F125"/>
    <mergeCell ref="B112:F112"/>
    <mergeCell ref="B104:F104"/>
    <mergeCell ref="H111:I111"/>
    <mergeCell ref="L108:M108"/>
    <mergeCell ref="H110:I110"/>
    <mergeCell ref="J109:K109"/>
    <mergeCell ref="L100:M100"/>
    <mergeCell ref="J111:K111"/>
    <mergeCell ref="J113:K113"/>
    <mergeCell ref="B122:M122"/>
    <mergeCell ref="J123:K123"/>
    <mergeCell ref="H123:I123"/>
    <mergeCell ref="B124:C124"/>
    <mergeCell ref="H124:I124"/>
    <mergeCell ref="B125:C125"/>
    <mergeCell ref="D124:F124"/>
    <mergeCell ref="B119:F119"/>
    <mergeCell ref="B103:F103"/>
    <mergeCell ref="J114:K114"/>
    <mergeCell ref="H108:I108"/>
    <mergeCell ref="L110:M110"/>
    <mergeCell ref="H109:I109"/>
    <mergeCell ref="B107:C107"/>
    <mergeCell ref="B105:F105"/>
    <mergeCell ref="J115:J116"/>
    <mergeCell ref="B120:F120"/>
    <mergeCell ref="B115:C116"/>
    <mergeCell ref="B117:F117"/>
    <mergeCell ref="H95:I95"/>
    <mergeCell ref="H87:I87"/>
    <mergeCell ref="H92:I92"/>
    <mergeCell ref="H94:I94"/>
    <mergeCell ref="H91:I91"/>
    <mergeCell ref="L77:M77"/>
    <mergeCell ref="L78:M78"/>
    <mergeCell ref="J157:K157"/>
    <mergeCell ref="J154:K154"/>
    <mergeCell ref="J155:K155"/>
    <mergeCell ref="H150:I150"/>
    <mergeCell ref="H147:I147"/>
    <mergeCell ref="J141:K142"/>
    <mergeCell ref="H128:I128"/>
    <mergeCell ref="J147:K147"/>
    <mergeCell ref="H145:I146"/>
    <mergeCell ref="L141:M143"/>
    <mergeCell ref="J139:K139"/>
    <mergeCell ref="L139:M139"/>
    <mergeCell ref="J140:K140"/>
    <mergeCell ref="B121:M121"/>
    <mergeCell ref="L145:M145"/>
    <mergeCell ref="L144:M144"/>
    <mergeCell ref="H143:I143"/>
    <mergeCell ref="J162:K162"/>
    <mergeCell ref="H157:I157"/>
    <mergeCell ref="H136:I136"/>
    <mergeCell ref="H137:I137"/>
    <mergeCell ref="H133:I133"/>
    <mergeCell ref="H134:I134"/>
    <mergeCell ref="H152:I155"/>
    <mergeCell ref="J161:K161"/>
    <mergeCell ref="J143:K143"/>
    <mergeCell ref="J145:K145"/>
    <mergeCell ref="H158:I162"/>
    <mergeCell ref="H140:I140"/>
    <mergeCell ref="J158:K158"/>
    <mergeCell ref="J146:K146"/>
    <mergeCell ref="J151:K151"/>
    <mergeCell ref="A148:M148"/>
    <mergeCell ref="B139:F139"/>
    <mergeCell ref="B150:F150"/>
    <mergeCell ref="G150:G151"/>
    <mergeCell ref="C145:C146"/>
    <mergeCell ref="D143:F143"/>
    <mergeCell ref="D144:F145"/>
    <mergeCell ref="H144:I144"/>
    <mergeCell ref="C153:F153"/>
    <mergeCell ref="A2:F2"/>
    <mergeCell ref="X162:Y162"/>
    <mergeCell ref="U168:W168"/>
    <mergeCell ref="U169:W169"/>
    <mergeCell ref="O2:AF2"/>
    <mergeCell ref="V162:W162"/>
    <mergeCell ref="T162:U162"/>
    <mergeCell ref="O84:O85"/>
    <mergeCell ref="T85:V85"/>
    <mergeCell ref="Z85:AB85"/>
    <mergeCell ref="AC85:AC90"/>
    <mergeCell ref="O87:O88"/>
    <mergeCell ref="P87:P88"/>
    <mergeCell ref="AD87:AD88"/>
    <mergeCell ref="L93:M93"/>
    <mergeCell ref="J94:K94"/>
    <mergeCell ref="J98:K98"/>
    <mergeCell ref="J85:K89"/>
    <mergeCell ref="L85:M85"/>
    <mergeCell ref="AD167:AE167"/>
    <mergeCell ref="U167:W167"/>
    <mergeCell ref="AD165:AE165"/>
    <mergeCell ref="X169:Y169"/>
    <mergeCell ref="Z169:AA169"/>
    <mergeCell ref="L176:M176"/>
    <mergeCell ref="AD169:AE169"/>
    <mergeCell ref="AD168:AE168"/>
    <mergeCell ref="X168:Y168"/>
    <mergeCell ref="Z168:AA168"/>
    <mergeCell ref="AE87:AE88"/>
    <mergeCell ref="Z88:AB88"/>
    <mergeCell ref="AB161:AC161"/>
    <mergeCell ref="Z152:AB152"/>
    <mergeCell ref="Z162:AA162"/>
    <mergeCell ref="O152:O153"/>
    <mergeCell ref="O145:U145"/>
    <mergeCell ref="O141:U143"/>
    <mergeCell ref="O144:U144"/>
    <mergeCell ref="O140:U140"/>
    <mergeCell ref="O120:P120"/>
    <mergeCell ref="AD162:AF162"/>
    <mergeCell ref="U120:X120"/>
    <mergeCell ref="AB162:AC162"/>
    <mergeCell ref="L155:M155"/>
    <mergeCell ref="L154:M154"/>
    <mergeCell ref="M146:M147"/>
    <mergeCell ref="U118:X118"/>
    <mergeCell ref="U117:X117"/>
    <mergeCell ref="R7:T8"/>
    <mergeCell ref="O7:Q8"/>
    <mergeCell ref="B6:B9"/>
    <mergeCell ref="L6:M6"/>
    <mergeCell ref="L7:M7"/>
    <mergeCell ref="L8:M8"/>
    <mergeCell ref="L9:M9"/>
    <mergeCell ref="N7:N8"/>
    <mergeCell ref="G192:G193"/>
    <mergeCell ref="H193:I193"/>
    <mergeCell ref="J193:K193"/>
    <mergeCell ref="O180:P180"/>
    <mergeCell ref="O181:P181"/>
    <mergeCell ref="H183:I183"/>
    <mergeCell ref="H184:I190"/>
    <mergeCell ref="L184:M184"/>
    <mergeCell ref="L185:M185"/>
    <mergeCell ref="L186:M186"/>
    <mergeCell ref="L187:M187"/>
    <mergeCell ref="L188:M188"/>
    <mergeCell ref="L189:M189"/>
    <mergeCell ref="L190:M190"/>
    <mergeCell ref="L183:M183"/>
    <mergeCell ref="L180:M180"/>
  </mergeCells>
  <phoneticPr fontId="10" type="noConversion"/>
  <pageMargins left="0.4" right="0.27" top="0.71" bottom="0.36" header="0.35433070866141736" footer="0.15748031496062992"/>
  <pageSetup paperSize="9" orientation="portrait" horizontalDpi="300" verticalDpi="300" r:id="rId1"/>
  <headerFooter alignWithMargins="0"/>
  <ignoredErrors>
    <ignoredError sqref="J32:J37 F38 L41:L47 F56 F59 L10:L16 F17 C51:C55 C60:C63 L7:L9 F47 S170"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94890-05D6-4EF4-BAD4-BB2C41DBCF06}">
  <dimension ref="B2:F35"/>
  <sheetViews>
    <sheetView workbookViewId="0">
      <selection activeCell="B34" sqref="B34"/>
    </sheetView>
  </sheetViews>
  <sheetFormatPr baseColWidth="10" defaultRowHeight="12.75"/>
  <cols>
    <col min="1" max="1" width="3.5703125" customWidth="1"/>
    <col min="2" max="2" width="18.140625" customWidth="1"/>
    <col min="4" max="4" width="2.5703125" customWidth="1"/>
    <col min="5" max="5" width="19.28515625" customWidth="1"/>
  </cols>
  <sheetData>
    <row r="2" spans="2:6" ht="18" customHeight="1">
      <c r="B2" s="95" t="s">
        <v>1168</v>
      </c>
      <c r="C2" s="79"/>
      <c r="D2" s="79"/>
      <c r="E2" s="1"/>
      <c r="F2" s="1"/>
    </row>
    <row r="3" spans="2:6">
      <c r="B3" s="1778" t="s">
        <v>1232</v>
      </c>
      <c r="C3" s="1779" t="s">
        <v>1233</v>
      </c>
      <c r="D3" s="1761"/>
      <c r="E3" s="1778" t="s">
        <v>1234</v>
      </c>
      <c r="F3" s="1780" t="s">
        <v>1233</v>
      </c>
    </row>
    <row r="4" spans="2:6">
      <c r="B4" s="1762" t="s">
        <v>1169</v>
      </c>
      <c r="C4" s="1763">
        <v>120</v>
      </c>
      <c r="D4" s="1764"/>
      <c r="E4" s="1765" t="s">
        <v>1170</v>
      </c>
      <c r="F4" s="1763">
        <v>125</v>
      </c>
    </row>
    <row r="5" spans="2:6">
      <c r="B5" s="1766" t="s">
        <v>1171</v>
      </c>
      <c r="C5" s="1767">
        <v>21</v>
      </c>
      <c r="D5" s="1764"/>
      <c r="E5" s="1768" t="s">
        <v>1172</v>
      </c>
      <c r="F5" s="1767">
        <v>160</v>
      </c>
    </row>
    <row r="6" spans="2:6">
      <c r="B6" s="1766" t="s">
        <v>1173</v>
      </c>
      <c r="C6" s="1767">
        <v>5</v>
      </c>
      <c r="D6" s="1764"/>
      <c r="E6" s="1768" t="s">
        <v>1174</v>
      </c>
      <c r="F6" s="1767">
        <v>160</v>
      </c>
    </row>
    <row r="7" spans="2:6">
      <c r="B7" s="1766" t="s">
        <v>1175</v>
      </c>
      <c r="C7" s="1767">
        <v>85</v>
      </c>
      <c r="D7" s="1764"/>
      <c r="E7" s="1768" t="s">
        <v>1176</v>
      </c>
      <c r="F7" s="1767">
        <v>70</v>
      </c>
    </row>
    <row r="8" spans="2:6">
      <c r="B8" s="1766" t="s">
        <v>1177</v>
      </c>
      <c r="C8" s="1767">
        <v>10</v>
      </c>
      <c r="D8" s="1764"/>
      <c r="E8" s="1768" t="s">
        <v>1178</v>
      </c>
      <c r="F8" s="1767">
        <v>105</v>
      </c>
    </row>
    <row r="9" spans="2:6">
      <c r="B9" s="1766" t="s">
        <v>1179</v>
      </c>
      <c r="C9" s="1767">
        <v>100</v>
      </c>
      <c r="D9" s="1764"/>
      <c r="E9" s="1768" t="s">
        <v>1180</v>
      </c>
      <c r="F9" s="1767">
        <v>120</v>
      </c>
    </row>
    <row r="10" spans="2:6">
      <c r="B10" s="1766" t="s">
        <v>1181</v>
      </c>
      <c r="C10" s="1767">
        <v>120</v>
      </c>
      <c r="D10" s="1764"/>
      <c r="E10" s="1768" t="s">
        <v>1182</v>
      </c>
      <c r="F10" s="1767">
        <v>150</v>
      </c>
    </row>
    <row r="11" spans="2:6">
      <c r="B11" s="1766" t="s">
        <v>1183</v>
      </c>
      <c r="C11" s="1767">
        <v>100</v>
      </c>
      <c r="D11" s="1764"/>
      <c r="E11" s="1768" t="s">
        <v>1184</v>
      </c>
      <c r="F11" s="1767">
        <v>130</v>
      </c>
    </row>
    <row r="12" spans="2:6">
      <c r="B12" s="1766" t="s">
        <v>1185</v>
      </c>
      <c r="C12" s="1767">
        <v>95</v>
      </c>
      <c r="D12" s="1764"/>
      <c r="E12" s="1768" t="s">
        <v>1186</v>
      </c>
      <c r="F12" s="1767">
        <v>105</v>
      </c>
    </row>
    <row r="13" spans="2:6">
      <c r="B13" s="1766" t="s">
        <v>1187</v>
      </c>
      <c r="C13" s="1767">
        <v>95</v>
      </c>
      <c r="D13" s="1764"/>
      <c r="E13" s="1768" t="s">
        <v>1188</v>
      </c>
      <c r="F13" s="1767">
        <v>75</v>
      </c>
    </row>
    <row r="14" spans="2:6">
      <c r="B14" s="1766" t="s">
        <v>1189</v>
      </c>
      <c r="C14" s="1767">
        <v>120</v>
      </c>
      <c r="D14" s="1764"/>
      <c r="E14" s="1768" t="s">
        <v>1190</v>
      </c>
      <c r="F14" s="1767">
        <v>170</v>
      </c>
    </row>
    <row r="15" spans="2:6">
      <c r="B15" s="1766" t="s">
        <v>1191</v>
      </c>
      <c r="C15" s="1767">
        <v>80</v>
      </c>
      <c r="D15" s="1764"/>
      <c r="E15" s="1768" t="s">
        <v>1192</v>
      </c>
      <c r="F15" s="1767">
        <v>130</v>
      </c>
    </row>
    <row r="16" spans="2:6">
      <c r="B16" s="1769" t="s">
        <v>1193</v>
      </c>
      <c r="C16" s="1770">
        <v>25</v>
      </c>
      <c r="D16" s="1764"/>
      <c r="E16" s="1768" t="s">
        <v>1194</v>
      </c>
      <c r="F16" s="1767">
        <v>80</v>
      </c>
    </row>
    <row r="17" spans="2:6">
      <c r="B17" s="1781" t="s">
        <v>1235</v>
      </c>
      <c r="C17" s="1763"/>
      <c r="D17" s="1764"/>
      <c r="E17" s="1768" t="s">
        <v>1195</v>
      </c>
      <c r="F17" s="1767">
        <v>85</v>
      </c>
    </row>
    <row r="18" spans="2:6">
      <c r="B18" s="1762" t="s">
        <v>1196</v>
      </c>
      <c r="C18" s="1763">
        <v>140</v>
      </c>
      <c r="D18" s="1764"/>
      <c r="E18" s="1768" t="s">
        <v>1197</v>
      </c>
      <c r="F18" s="1767">
        <v>80</v>
      </c>
    </row>
    <row r="19" spans="2:6">
      <c r="B19" s="1766" t="s">
        <v>1198</v>
      </c>
      <c r="C19" s="1767">
        <v>125</v>
      </c>
      <c r="D19" s="1764"/>
      <c r="E19" s="1768" t="s">
        <v>1199</v>
      </c>
      <c r="F19" s="1767">
        <v>90</v>
      </c>
    </row>
    <row r="20" spans="2:6">
      <c r="B20" s="1766" t="s">
        <v>1200</v>
      </c>
      <c r="C20" s="1767">
        <v>165</v>
      </c>
      <c r="D20" s="1764"/>
      <c r="E20" s="1768" t="s">
        <v>1201</v>
      </c>
      <c r="F20" s="1767">
        <v>50</v>
      </c>
    </row>
    <row r="21" spans="2:6">
      <c r="B21" s="1766" t="s">
        <v>1202</v>
      </c>
      <c r="C21" s="1767">
        <v>280</v>
      </c>
      <c r="D21" s="1764"/>
      <c r="E21" s="1768" t="s">
        <v>1203</v>
      </c>
      <c r="F21" s="1767">
        <v>120</v>
      </c>
    </row>
    <row r="22" spans="2:6">
      <c r="B22" s="1766" t="s">
        <v>1204</v>
      </c>
      <c r="C22" s="1767">
        <v>140</v>
      </c>
      <c r="D22" s="1764"/>
      <c r="E22" s="1768" t="s">
        <v>1205</v>
      </c>
      <c r="F22" s="1767">
        <v>145</v>
      </c>
    </row>
    <row r="23" spans="2:6">
      <c r="B23" s="1766" t="s">
        <v>1206</v>
      </c>
      <c r="C23" s="1767">
        <v>240</v>
      </c>
      <c r="D23" s="1764"/>
      <c r="E23" s="1768" t="s">
        <v>1207</v>
      </c>
      <c r="F23" s="1767">
        <v>100</v>
      </c>
    </row>
    <row r="24" spans="2:6">
      <c r="B24" s="1766" t="s">
        <v>1208</v>
      </c>
      <c r="C24" s="1767">
        <v>160</v>
      </c>
      <c r="D24" s="1764"/>
      <c r="E24" s="1768" t="s">
        <v>1209</v>
      </c>
      <c r="F24" s="1767">
        <v>135</v>
      </c>
    </row>
    <row r="25" spans="2:6">
      <c r="B25" s="1766" t="s">
        <v>1210</v>
      </c>
      <c r="C25" s="1767">
        <v>105</v>
      </c>
      <c r="D25" s="1764"/>
      <c r="E25" s="1768" t="s">
        <v>1211</v>
      </c>
      <c r="F25" s="1767">
        <v>190</v>
      </c>
    </row>
    <row r="26" spans="2:6">
      <c r="B26" s="1766" t="s">
        <v>1212</v>
      </c>
      <c r="C26" s="1767">
        <v>145</v>
      </c>
      <c r="D26" s="1764"/>
      <c r="E26" s="1769" t="s">
        <v>1213</v>
      </c>
      <c r="F26" s="1770">
        <v>65</v>
      </c>
    </row>
    <row r="27" spans="2:6">
      <c r="B27" s="1766" t="s">
        <v>1214</v>
      </c>
      <c r="C27" s="1767">
        <v>165</v>
      </c>
      <c r="D27" s="1764"/>
      <c r="E27" s="1781" t="s">
        <v>1236</v>
      </c>
      <c r="F27" s="1771"/>
    </row>
    <row r="28" spans="2:6">
      <c r="B28" s="1766" t="s">
        <v>1215</v>
      </c>
      <c r="C28" s="1767">
        <v>298</v>
      </c>
      <c r="D28" s="1764"/>
      <c r="E28" s="1765" t="s">
        <v>1216</v>
      </c>
      <c r="F28" s="1772">
        <v>2.5000000000000001E-2</v>
      </c>
    </row>
    <row r="29" spans="2:6">
      <c r="B29" s="1766" t="s">
        <v>1217</v>
      </c>
      <c r="C29" s="1767">
        <v>50</v>
      </c>
      <c r="D29" s="1764"/>
      <c r="E29" s="1768" t="s">
        <v>1079</v>
      </c>
      <c r="F29" s="1767" t="s">
        <v>1218</v>
      </c>
    </row>
    <row r="30" spans="2:6">
      <c r="B30" s="1766" t="s">
        <v>1219</v>
      </c>
      <c r="C30" s="1767">
        <v>85</v>
      </c>
      <c r="D30" s="1764"/>
      <c r="E30" s="1768" t="s">
        <v>1220</v>
      </c>
      <c r="F30" s="1767" t="s">
        <v>1221</v>
      </c>
    </row>
    <row r="31" spans="2:6">
      <c r="B31" s="1766" t="s">
        <v>1222</v>
      </c>
      <c r="C31" s="1767">
        <v>150</v>
      </c>
      <c r="D31" s="1764"/>
      <c r="E31" s="1768" t="s">
        <v>1223</v>
      </c>
      <c r="F31" s="1767" t="s">
        <v>1224</v>
      </c>
    </row>
    <row r="32" spans="2:6">
      <c r="B32" s="1766" t="s">
        <v>1225</v>
      </c>
      <c r="C32" s="1767">
        <v>160</v>
      </c>
      <c r="D32" s="1764"/>
      <c r="E32" s="1768" t="s">
        <v>1226</v>
      </c>
      <c r="F32" s="1767" t="s">
        <v>1227</v>
      </c>
    </row>
    <row r="33" spans="2:6">
      <c r="B33" s="1773"/>
      <c r="C33" s="102"/>
      <c r="D33" s="1774"/>
      <c r="E33" s="1768" t="s">
        <v>1228</v>
      </c>
      <c r="F33" s="1767" t="s">
        <v>1229</v>
      </c>
    </row>
    <row r="34" spans="2:6">
      <c r="B34" s="1775"/>
      <c r="C34" s="110"/>
      <c r="D34" s="1776"/>
      <c r="E34" s="1777" t="s">
        <v>1230</v>
      </c>
      <c r="F34" s="1782" t="s">
        <v>1231</v>
      </c>
    </row>
    <row r="35" spans="2:6">
      <c r="F35" s="61" t="s">
        <v>1241</v>
      </c>
    </row>
  </sheetData>
  <sheetProtection algorithmName="SHA-512" hashValue="j39UBOmfzCDqAbyWDl2OeLMCslqaQLaYWPifwwJtvJJdh+1kVOzKUG+lE1x4QMokBjHv3/wG4eYH8C+nkfFp3w==" saltValue="CVHMIaNNDUxBLHWFqvvYB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23"/>
  <sheetViews>
    <sheetView showGridLines="0" zoomScale="124" zoomScaleNormal="124" workbookViewId="0">
      <selection activeCell="F28" sqref="F28"/>
    </sheetView>
  </sheetViews>
  <sheetFormatPr baseColWidth="10" defaultColWidth="9.140625" defaultRowHeight="12.75"/>
  <cols>
    <col min="1" max="1" width="2.7109375" customWidth="1"/>
    <col min="2" max="2" width="13.85546875" customWidth="1"/>
    <col min="3" max="3" width="25.28515625" customWidth="1"/>
    <col min="4" max="4" width="17" customWidth="1"/>
    <col min="5" max="5" width="13" customWidth="1"/>
    <col min="6" max="6" width="17.5703125" customWidth="1"/>
    <col min="7" max="7" width="10.85546875" customWidth="1"/>
    <col min="8" max="8" width="22.7109375" customWidth="1"/>
    <col min="257" max="257" width="2.7109375" customWidth="1"/>
    <col min="258" max="258" width="14.7109375" customWidth="1"/>
    <col min="259" max="259" width="24" customWidth="1"/>
    <col min="260" max="260" width="20.28515625" customWidth="1"/>
    <col min="261" max="261" width="13" customWidth="1"/>
    <col min="262" max="262" width="14.5703125" customWidth="1"/>
    <col min="263" max="263" width="10.85546875" customWidth="1"/>
    <col min="264" max="264" width="22.7109375" customWidth="1"/>
    <col min="513" max="513" width="2.7109375" customWidth="1"/>
    <col min="514" max="514" width="14.7109375" customWidth="1"/>
    <col min="515" max="515" width="24" customWidth="1"/>
    <col min="516" max="516" width="20.28515625" customWidth="1"/>
    <col min="517" max="517" width="13" customWidth="1"/>
    <col min="518" max="518" width="14.5703125" customWidth="1"/>
    <col min="519" max="519" width="10.85546875" customWidth="1"/>
    <col min="520" max="520" width="22.7109375" customWidth="1"/>
    <col min="769" max="769" width="2.7109375" customWidth="1"/>
    <col min="770" max="770" width="14.7109375" customWidth="1"/>
    <col min="771" max="771" width="24" customWidth="1"/>
    <col min="772" max="772" width="20.28515625" customWidth="1"/>
    <col min="773" max="773" width="13" customWidth="1"/>
    <col min="774" max="774" width="14.5703125" customWidth="1"/>
    <col min="775" max="775" width="10.85546875" customWidth="1"/>
    <col min="776" max="776" width="22.7109375" customWidth="1"/>
    <col min="1025" max="1025" width="2.7109375" customWidth="1"/>
    <col min="1026" max="1026" width="14.7109375" customWidth="1"/>
    <col min="1027" max="1027" width="24" customWidth="1"/>
    <col min="1028" max="1028" width="20.28515625" customWidth="1"/>
    <col min="1029" max="1029" width="13" customWidth="1"/>
    <col min="1030" max="1030" width="14.5703125" customWidth="1"/>
    <col min="1031" max="1031" width="10.85546875" customWidth="1"/>
    <col min="1032" max="1032" width="22.7109375" customWidth="1"/>
    <col min="1281" max="1281" width="2.7109375" customWidth="1"/>
    <col min="1282" max="1282" width="14.7109375" customWidth="1"/>
    <col min="1283" max="1283" width="24" customWidth="1"/>
    <col min="1284" max="1284" width="20.28515625" customWidth="1"/>
    <col min="1285" max="1285" width="13" customWidth="1"/>
    <col min="1286" max="1286" width="14.5703125" customWidth="1"/>
    <col min="1287" max="1287" width="10.85546875" customWidth="1"/>
    <col min="1288" max="1288" width="22.7109375" customWidth="1"/>
    <col min="1537" max="1537" width="2.7109375" customWidth="1"/>
    <col min="1538" max="1538" width="14.7109375" customWidth="1"/>
    <col min="1539" max="1539" width="24" customWidth="1"/>
    <col min="1540" max="1540" width="20.28515625" customWidth="1"/>
    <col min="1541" max="1541" width="13" customWidth="1"/>
    <col min="1542" max="1542" width="14.5703125" customWidth="1"/>
    <col min="1543" max="1543" width="10.85546875" customWidth="1"/>
    <col min="1544" max="1544" width="22.7109375" customWidth="1"/>
    <col min="1793" max="1793" width="2.7109375" customWidth="1"/>
    <col min="1794" max="1794" width="14.7109375" customWidth="1"/>
    <col min="1795" max="1795" width="24" customWidth="1"/>
    <col min="1796" max="1796" width="20.28515625" customWidth="1"/>
    <col min="1797" max="1797" width="13" customWidth="1"/>
    <col min="1798" max="1798" width="14.5703125" customWidth="1"/>
    <col min="1799" max="1799" width="10.85546875" customWidth="1"/>
    <col min="1800" max="1800" width="22.7109375" customWidth="1"/>
    <col min="2049" max="2049" width="2.7109375" customWidth="1"/>
    <col min="2050" max="2050" width="14.7109375" customWidth="1"/>
    <col min="2051" max="2051" width="24" customWidth="1"/>
    <col min="2052" max="2052" width="20.28515625" customWidth="1"/>
    <col min="2053" max="2053" width="13" customWidth="1"/>
    <col min="2054" max="2054" width="14.5703125" customWidth="1"/>
    <col min="2055" max="2055" width="10.85546875" customWidth="1"/>
    <col min="2056" max="2056" width="22.7109375" customWidth="1"/>
    <col min="2305" max="2305" width="2.7109375" customWidth="1"/>
    <col min="2306" max="2306" width="14.7109375" customWidth="1"/>
    <col min="2307" max="2307" width="24" customWidth="1"/>
    <col min="2308" max="2308" width="20.28515625" customWidth="1"/>
    <col min="2309" max="2309" width="13" customWidth="1"/>
    <col min="2310" max="2310" width="14.5703125" customWidth="1"/>
    <col min="2311" max="2311" width="10.85546875" customWidth="1"/>
    <col min="2312" max="2312" width="22.7109375" customWidth="1"/>
    <col min="2561" max="2561" width="2.7109375" customWidth="1"/>
    <col min="2562" max="2562" width="14.7109375" customWidth="1"/>
    <col min="2563" max="2563" width="24" customWidth="1"/>
    <col min="2564" max="2564" width="20.28515625" customWidth="1"/>
    <col min="2565" max="2565" width="13" customWidth="1"/>
    <col min="2566" max="2566" width="14.5703125" customWidth="1"/>
    <col min="2567" max="2567" width="10.85546875" customWidth="1"/>
    <col min="2568" max="2568" width="22.7109375" customWidth="1"/>
    <col min="2817" max="2817" width="2.7109375" customWidth="1"/>
    <col min="2818" max="2818" width="14.7109375" customWidth="1"/>
    <col min="2819" max="2819" width="24" customWidth="1"/>
    <col min="2820" max="2820" width="20.28515625" customWidth="1"/>
    <col min="2821" max="2821" width="13" customWidth="1"/>
    <col min="2822" max="2822" width="14.5703125" customWidth="1"/>
    <col min="2823" max="2823" width="10.85546875" customWidth="1"/>
    <col min="2824" max="2824" width="22.7109375" customWidth="1"/>
    <col min="3073" max="3073" width="2.7109375" customWidth="1"/>
    <col min="3074" max="3074" width="14.7109375" customWidth="1"/>
    <col min="3075" max="3075" width="24" customWidth="1"/>
    <col min="3076" max="3076" width="20.28515625" customWidth="1"/>
    <col min="3077" max="3077" width="13" customWidth="1"/>
    <col min="3078" max="3078" width="14.5703125" customWidth="1"/>
    <col min="3079" max="3079" width="10.85546875" customWidth="1"/>
    <col min="3080" max="3080" width="22.7109375" customWidth="1"/>
    <col min="3329" max="3329" width="2.7109375" customWidth="1"/>
    <col min="3330" max="3330" width="14.7109375" customWidth="1"/>
    <col min="3331" max="3331" width="24" customWidth="1"/>
    <col min="3332" max="3332" width="20.28515625" customWidth="1"/>
    <col min="3333" max="3333" width="13" customWidth="1"/>
    <col min="3334" max="3334" width="14.5703125" customWidth="1"/>
    <col min="3335" max="3335" width="10.85546875" customWidth="1"/>
    <col min="3336" max="3336" width="22.7109375" customWidth="1"/>
    <col min="3585" max="3585" width="2.7109375" customWidth="1"/>
    <col min="3586" max="3586" width="14.7109375" customWidth="1"/>
    <col min="3587" max="3587" width="24" customWidth="1"/>
    <col min="3588" max="3588" width="20.28515625" customWidth="1"/>
    <col min="3589" max="3589" width="13" customWidth="1"/>
    <col min="3590" max="3590" width="14.5703125" customWidth="1"/>
    <col min="3591" max="3591" width="10.85546875" customWidth="1"/>
    <col min="3592" max="3592" width="22.7109375" customWidth="1"/>
    <col min="3841" max="3841" width="2.7109375" customWidth="1"/>
    <col min="3842" max="3842" width="14.7109375" customWidth="1"/>
    <col min="3843" max="3843" width="24" customWidth="1"/>
    <col min="3844" max="3844" width="20.28515625" customWidth="1"/>
    <col min="3845" max="3845" width="13" customWidth="1"/>
    <col min="3846" max="3846" width="14.5703125" customWidth="1"/>
    <col min="3847" max="3847" width="10.85546875" customWidth="1"/>
    <col min="3848" max="3848" width="22.7109375" customWidth="1"/>
    <col min="4097" max="4097" width="2.7109375" customWidth="1"/>
    <col min="4098" max="4098" width="14.7109375" customWidth="1"/>
    <col min="4099" max="4099" width="24" customWidth="1"/>
    <col min="4100" max="4100" width="20.28515625" customWidth="1"/>
    <col min="4101" max="4101" width="13" customWidth="1"/>
    <col min="4102" max="4102" width="14.5703125" customWidth="1"/>
    <col min="4103" max="4103" width="10.85546875" customWidth="1"/>
    <col min="4104" max="4104" width="22.7109375" customWidth="1"/>
    <col min="4353" max="4353" width="2.7109375" customWidth="1"/>
    <col min="4354" max="4354" width="14.7109375" customWidth="1"/>
    <col min="4355" max="4355" width="24" customWidth="1"/>
    <col min="4356" max="4356" width="20.28515625" customWidth="1"/>
    <col min="4357" max="4357" width="13" customWidth="1"/>
    <col min="4358" max="4358" width="14.5703125" customWidth="1"/>
    <col min="4359" max="4359" width="10.85546875" customWidth="1"/>
    <col min="4360" max="4360" width="22.7109375" customWidth="1"/>
    <col min="4609" max="4609" width="2.7109375" customWidth="1"/>
    <col min="4610" max="4610" width="14.7109375" customWidth="1"/>
    <col min="4611" max="4611" width="24" customWidth="1"/>
    <col min="4612" max="4612" width="20.28515625" customWidth="1"/>
    <col min="4613" max="4613" width="13" customWidth="1"/>
    <col min="4614" max="4614" width="14.5703125" customWidth="1"/>
    <col min="4615" max="4615" width="10.85546875" customWidth="1"/>
    <col min="4616" max="4616" width="22.7109375" customWidth="1"/>
    <col min="4865" max="4865" width="2.7109375" customWidth="1"/>
    <col min="4866" max="4866" width="14.7109375" customWidth="1"/>
    <col min="4867" max="4867" width="24" customWidth="1"/>
    <col min="4868" max="4868" width="20.28515625" customWidth="1"/>
    <col min="4869" max="4869" width="13" customWidth="1"/>
    <col min="4870" max="4870" width="14.5703125" customWidth="1"/>
    <col min="4871" max="4871" width="10.85546875" customWidth="1"/>
    <col min="4872" max="4872" width="22.7109375" customWidth="1"/>
    <col min="5121" max="5121" width="2.7109375" customWidth="1"/>
    <col min="5122" max="5122" width="14.7109375" customWidth="1"/>
    <col min="5123" max="5123" width="24" customWidth="1"/>
    <col min="5124" max="5124" width="20.28515625" customWidth="1"/>
    <col min="5125" max="5125" width="13" customWidth="1"/>
    <col min="5126" max="5126" width="14.5703125" customWidth="1"/>
    <col min="5127" max="5127" width="10.85546875" customWidth="1"/>
    <col min="5128" max="5128" width="22.7109375" customWidth="1"/>
    <col min="5377" max="5377" width="2.7109375" customWidth="1"/>
    <col min="5378" max="5378" width="14.7109375" customWidth="1"/>
    <col min="5379" max="5379" width="24" customWidth="1"/>
    <col min="5380" max="5380" width="20.28515625" customWidth="1"/>
    <col min="5381" max="5381" width="13" customWidth="1"/>
    <col min="5382" max="5382" width="14.5703125" customWidth="1"/>
    <col min="5383" max="5383" width="10.85546875" customWidth="1"/>
    <col min="5384" max="5384" width="22.7109375" customWidth="1"/>
    <col min="5633" max="5633" width="2.7109375" customWidth="1"/>
    <col min="5634" max="5634" width="14.7109375" customWidth="1"/>
    <col min="5635" max="5635" width="24" customWidth="1"/>
    <col min="5636" max="5636" width="20.28515625" customWidth="1"/>
    <col min="5637" max="5637" width="13" customWidth="1"/>
    <col min="5638" max="5638" width="14.5703125" customWidth="1"/>
    <col min="5639" max="5639" width="10.85546875" customWidth="1"/>
    <col min="5640" max="5640" width="22.7109375" customWidth="1"/>
    <col min="5889" max="5889" width="2.7109375" customWidth="1"/>
    <col min="5890" max="5890" width="14.7109375" customWidth="1"/>
    <col min="5891" max="5891" width="24" customWidth="1"/>
    <col min="5892" max="5892" width="20.28515625" customWidth="1"/>
    <col min="5893" max="5893" width="13" customWidth="1"/>
    <col min="5894" max="5894" width="14.5703125" customWidth="1"/>
    <col min="5895" max="5895" width="10.85546875" customWidth="1"/>
    <col min="5896" max="5896" width="22.7109375" customWidth="1"/>
    <col min="6145" max="6145" width="2.7109375" customWidth="1"/>
    <col min="6146" max="6146" width="14.7109375" customWidth="1"/>
    <col min="6147" max="6147" width="24" customWidth="1"/>
    <col min="6148" max="6148" width="20.28515625" customWidth="1"/>
    <col min="6149" max="6149" width="13" customWidth="1"/>
    <col min="6150" max="6150" width="14.5703125" customWidth="1"/>
    <col min="6151" max="6151" width="10.85546875" customWidth="1"/>
    <col min="6152" max="6152" width="22.7109375" customWidth="1"/>
    <col min="6401" max="6401" width="2.7109375" customWidth="1"/>
    <col min="6402" max="6402" width="14.7109375" customWidth="1"/>
    <col min="6403" max="6403" width="24" customWidth="1"/>
    <col min="6404" max="6404" width="20.28515625" customWidth="1"/>
    <col min="6405" max="6405" width="13" customWidth="1"/>
    <col min="6406" max="6406" width="14.5703125" customWidth="1"/>
    <col min="6407" max="6407" width="10.85546875" customWidth="1"/>
    <col min="6408" max="6408" width="22.7109375" customWidth="1"/>
    <col min="6657" max="6657" width="2.7109375" customWidth="1"/>
    <col min="6658" max="6658" width="14.7109375" customWidth="1"/>
    <col min="6659" max="6659" width="24" customWidth="1"/>
    <col min="6660" max="6660" width="20.28515625" customWidth="1"/>
    <col min="6661" max="6661" width="13" customWidth="1"/>
    <col min="6662" max="6662" width="14.5703125" customWidth="1"/>
    <col min="6663" max="6663" width="10.85546875" customWidth="1"/>
    <col min="6664" max="6664" width="22.7109375" customWidth="1"/>
    <col min="6913" max="6913" width="2.7109375" customWidth="1"/>
    <col min="6914" max="6914" width="14.7109375" customWidth="1"/>
    <col min="6915" max="6915" width="24" customWidth="1"/>
    <col min="6916" max="6916" width="20.28515625" customWidth="1"/>
    <col min="6917" max="6917" width="13" customWidth="1"/>
    <col min="6918" max="6918" width="14.5703125" customWidth="1"/>
    <col min="6919" max="6919" width="10.85546875" customWidth="1"/>
    <col min="6920" max="6920" width="22.7109375" customWidth="1"/>
    <col min="7169" max="7169" width="2.7109375" customWidth="1"/>
    <col min="7170" max="7170" width="14.7109375" customWidth="1"/>
    <col min="7171" max="7171" width="24" customWidth="1"/>
    <col min="7172" max="7172" width="20.28515625" customWidth="1"/>
    <col min="7173" max="7173" width="13" customWidth="1"/>
    <col min="7174" max="7174" width="14.5703125" customWidth="1"/>
    <col min="7175" max="7175" width="10.85546875" customWidth="1"/>
    <col min="7176" max="7176" width="22.7109375" customWidth="1"/>
    <col min="7425" max="7425" width="2.7109375" customWidth="1"/>
    <col min="7426" max="7426" width="14.7109375" customWidth="1"/>
    <col min="7427" max="7427" width="24" customWidth="1"/>
    <col min="7428" max="7428" width="20.28515625" customWidth="1"/>
    <col min="7429" max="7429" width="13" customWidth="1"/>
    <col min="7430" max="7430" width="14.5703125" customWidth="1"/>
    <col min="7431" max="7431" width="10.85546875" customWidth="1"/>
    <col min="7432" max="7432" width="22.7109375" customWidth="1"/>
    <col min="7681" max="7681" width="2.7109375" customWidth="1"/>
    <col min="7682" max="7682" width="14.7109375" customWidth="1"/>
    <col min="7683" max="7683" width="24" customWidth="1"/>
    <col min="7684" max="7684" width="20.28515625" customWidth="1"/>
    <col min="7685" max="7685" width="13" customWidth="1"/>
    <col min="7686" max="7686" width="14.5703125" customWidth="1"/>
    <col min="7687" max="7687" width="10.85546875" customWidth="1"/>
    <col min="7688" max="7688" width="22.7109375" customWidth="1"/>
    <col min="7937" max="7937" width="2.7109375" customWidth="1"/>
    <col min="7938" max="7938" width="14.7109375" customWidth="1"/>
    <col min="7939" max="7939" width="24" customWidth="1"/>
    <col min="7940" max="7940" width="20.28515625" customWidth="1"/>
    <col min="7941" max="7941" width="13" customWidth="1"/>
    <col min="7942" max="7942" width="14.5703125" customWidth="1"/>
    <col min="7943" max="7943" width="10.85546875" customWidth="1"/>
    <col min="7944" max="7944" width="22.7109375" customWidth="1"/>
    <col min="8193" max="8193" width="2.7109375" customWidth="1"/>
    <col min="8194" max="8194" width="14.7109375" customWidth="1"/>
    <col min="8195" max="8195" width="24" customWidth="1"/>
    <col min="8196" max="8196" width="20.28515625" customWidth="1"/>
    <col min="8197" max="8197" width="13" customWidth="1"/>
    <col min="8198" max="8198" width="14.5703125" customWidth="1"/>
    <col min="8199" max="8199" width="10.85546875" customWidth="1"/>
    <col min="8200" max="8200" width="22.7109375" customWidth="1"/>
    <col min="8449" max="8449" width="2.7109375" customWidth="1"/>
    <col min="8450" max="8450" width="14.7109375" customWidth="1"/>
    <col min="8451" max="8451" width="24" customWidth="1"/>
    <col min="8452" max="8452" width="20.28515625" customWidth="1"/>
    <col min="8453" max="8453" width="13" customWidth="1"/>
    <col min="8454" max="8454" width="14.5703125" customWidth="1"/>
    <col min="8455" max="8455" width="10.85546875" customWidth="1"/>
    <col min="8456" max="8456" width="22.7109375" customWidth="1"/>
    <col min="8705" max="8705" width="2.7109375" customWidth="1"/>
    <col min="8706" max="8706" width="14.7109375" customWidth="1"/>
    <col min="8707" max="8707" width="24" customWidth="1"/>
    <col min="8708" max="8708" width="20.28515625" customWidth="1"/>
    <col min="8709" max="8709" width="13" customWidth="1"/>
    <col min="8710" max="8710" width="14.5703125" customWidth="1"/>
    <col min="8711" max="8711" width="10.85546875" customWidth="1"/>
    <col min="8712" max="8712" width="22.7109375" customWidth="1"/>
    <col min="8961" max="8961" width="2.7109375" customWidth="1"/>
    <col min="8962" max="8962" width="14.7109375" customWidth="1"/>
    <col min="8963" max="8963" width="24" customWidth="1"/>
    <col min="8964" max="8964" width="20.28515625" customWidth="1"/>
    <col min="8965" max="8965" width="13" customWidth="1"/>
    <col min="8966" max="8966" width="14.5703125" customWidth="1"/>
    <col min="8967" max="8967" width="10.85546875" customWidth="1"/>
    <col min="8968" max="8968" width="22.7109375" customWidth="1"/>
    <col min="9217" max="9217" width="2.7109375" customWidth="1"/>
    <col min="9218" max="9218" width="14.7109375" customWidth="1"/>
    <col min="9219" max="9219" width="24" customWidth="1"/>
    <col min="9220" max="9220" width="20.28515625" customWidth="1"/>
    <col min="9221" max="9221" width="13" customWidth="1"/>
    <col min="9222" max="9222" width="14.5703125" customWidth="1"/>
    <col min="9223" max="9223" width="10.85546875" customWidth="1"/>
    <col min="9224" max="9224" width="22.7109375" customWidth="1"/>
    <col min="9473" max="9473" width="2.7109375" customWidth="1"/>
    <col min="9474" max="9474" width="14.7109375" customWidth="1"/>
    <col min="9475" max="9475" width="24" customWidth="1"/>
    <col min="9476" max="9476" width="20.28515625" customWidth="1"/>
    <col min="9477" max="9477" width="13" customWidth="1"/>
    <col min="9478" max="9478" width="14.5703125" customWidth="1"/>
    <col min="9479" max="9479" width="10.85546875" customWidth="1"/>
    <col min="9480" max="9480" width="22.7109375" customWidth="1"/>
    <col min="9729" max="9729" width="2.7109375" customWidth="1"/>
    <col min="9730" max="9730" width="14.7109375" customWidth="1"/>
    <col min="9731" max="9731" width="24" customWidth="1"/>
    <col min="9732" max="9732" width="20.28515625" customWidth="1"/>
    <col min="9733" max="9733" width="13" customWidth="1"/>
    <col min="9734" max="9734" width="14.5703125" customWidth="1"/>
    <col min="9735" max="9735" width="10.85546875" customWidth="1"/>
    <col min="9736" max="9736" width="22.7109375" customWidth="1"/>
    <col min="9985" max="9985" width="2.7109375" customWidth="1"/>
    <col min="9986" max="9986" width="14.7109375" customWidth="1"/>
    <col min="9987" max="9987" width="24" customWidth="1"/>
    <col min="9988" max="9988" width="20.28515625" customWidth="1"/>
    <col min="9989" max="9989" width="13" customWidth="1"/>
    <col min="9990" max="9990" width="14.5703125" customWidth="1"/>
    <col min="9991" max="9991" width="10.85546875" customWidth="1"/>
    <col min="9992" max="9992" width="22.7109375" customWidth="1"/>
    <col min="10241" max="10241" width="2.7109375" customWidth="1"/>
    <col min="10242" max="10242" width="14.7109375" customWidth="1"/>
    <col min="10243" max="10243" width="24" customWidth="1"/>
    <col min="10244" max="10244" width="20.28515625" customWidth="1"/>
    <col min="10245" max="10245" width="13" customWidth="1"/>
    <col min="10246" max="10246" width="14.5703125" customWidth="1"/>
    <col min="10247" max="10247" width="10.85546875" customWidth="1"/>
    <col min="10248" max="10248" width="22.7109375" customWidth="1"/>
    <col min="10497" max="10497" width="2.7109375" customWidth="1"/>
    <col min="10498" max="10498" width="14.7109375" customWidth="1"/>
    <col min="10499" max="10499" width="24" customWidth="1"/>
    <col min="10500" max="10500" width="20.28515625" customWidth="1"/>
    <col min="10501" max="10501" width="13" customWidth="1"/>
    <col min="10502" max="10502" width="14.5703125" customWidth="1"/>
    <col min="10503" max="10503" width="10.85546875" customWidth="1"/>
    <col min="10504" max="10504" width="22.7109375" customWidth="1"/>
    <col min="10753" max="10753" width="2.7109375" customWidth="1"/>
    <col min="10754" max="10754" width="14.7109375" customWidth="1"/>
    <col min="10755" max="10755" width="24" customWidth="1"/>
    <col min="10756" max="10756" width="20.28515625" customWidth="1"/>
    <col min="10757" max="10757" width="13" customWidth="1"/>
    <col min="10758" max="10758" width="14.5703125" customWidth="1"/>
    <col min="10759" max="10759" width="10.85546875" customWidth="1"/>
    <col min="10760" max="10760" width="22.7109375" customWidth="1"/>
    <col min="11009" max="11009" width="2.7109375" customWidth="1"/>
    <col min="11010" max="11010" width="14.7109375" customWidth="1"/>
    <col min="11011" max="11011" width="24" customWidth="1"/>
    <col min="11012" max="11012" width="20.28515625" customWidth="1"/>
    <col min="11013" max="11013" width="13" customWidth="1"/>
    <col min="11014" max="11014" width="14.5703125" customWidth="1"/>
    <col min="11015" max="11015" width="10.85546875" customWidth="1"/>
    <col min="11016" max="11016" width="22.7109375" customWidth="1"/>
    <col min="11265" max="11265" width="2.7109375" customWidth="1"/>
    <col min="11266" max="11266" width="14.7109375" customWidth="1"/>
    <col min="11267" max="11267" width="24" customWidth="1"/>
    <col min="11268" max="11268" width="20.28515625" customWidth="1"/>
    <col min="11269" max="11269" width="13" customWidth="1"/>
    <col min="11270" max="11270" width="14.5703125" customWidth="1"/>
    <col min="11271" max="11271" width="10.85546875" customWidth="1"/>
    <col min="11272" max="11272" width="22.7109375" customWidth="1"/>
    <col min="11521" max="11521" width="2.7109375" customWidth="1"/>
    <col min="11522" max="11522" width="14.7109375" customWidth="1"/>
    <col min="11523" max="11523" width="24" customWidth="1"/>
    <col min="11524" max="11524" width="20.28515625" customWidth="1"/>
    <col min="11525" max="11525" width="13" customWidth="1"/>
    <col min="11526" max="11526" width="14.5703125" customWidth="1"/>
    <col min="11527" max="11527" width="10.85546875" customWidth="1"/>
    <col min="11528" max="11528" width="22.7109375" customWidth="1"/>
    <col min="11777" max="11777" width="2.7109375" customWidth="1"/>
    <col min="11778" max="11778" width="14.7109375" customWidth="1"/>
    <col min="11779" max="11779" width="24" customWidth="1"/>
    <col min="11780" max="11780" width="20.28515625" customWidth="1"/>
    <col min="11781" max="11781" width="13" customWidth="1"/>
    <col min="11782" max="11782" width="14.5703125" customWidth="1"/>
    <col min="11783" max="11783" width="10.85546875" customWidth="1"/>
    <col min="11784" max="11784" width="22.7109375" customWidth="1"/>
    <col min="12033" max="12033" width="2.7109375" customWidth="1"/>
    <col min="12034" max="12034" width="14.7109375" customWidth="1"/>
    <col min="12035" max="12035" width="24" customWidth="1"/>
    <col min="12036" max="12036" width="20.28515625" customWidth="1"/>
    <col min="12037" max="12037" width="13" customWidth="1"/>
    <col min="12038" max="12038" width="14.5703125" customWidth="1"/>
    <col min="12039" max="12039" width="10.85546875" customWidth="1"/>
    <col min="12040" max="12040" width="22.7109375" customWidth="1"/>
    <col min="12289" max="12289" width="2.7109375" customWidth="1"/>
    <col min="12290" max="12290" width="14.7109375" customWidth="1"/>
    <col min="12291" max="12291" width="24" customWidth="1"/>
    <col min="12292" max="12292" width="20.28515625" customWidth="1"/>
    <col min="12293" max="12293" width="13" customWidth="1"/>
    <col min="12294" max="12294" width="14.5703125" customWidth="1"/>
    <col min="12295" max="12295" width="10.85546875" customWidth="1"/>
    <col min="12296" max="12296" width="22.7109375" customWidth="1"/>
    <col min="12545" max="12545" width="2.7109375" customWidth="1"/>
    <col min="12546" max="12546" width="14.7109375" customWidth="1"/>
    <col min="12547" max="12547" width="24" customWidth="1"/>
    <col min="12548" max="12548" width="20.28515625" customWidth="1"/>
    <col min="12549" max="12549" width="13" customWidth="1"/>
    <col min="12550" max="12550" width="14.5703125" customWidth="1"/>
    <col min="12551" max="12551" width="10.85546875" customWidth="1"/>
    <col min="12552" max="12552" width="22.7109375" customWidth="1"/>
    <col min="12801" max="12801" width="2.7109375" customWidth="1"/>
    <col min="12802" max="12802" width="14.7109375" customWidth="1"/>
    <col min="12803" max="12803" width="24" customWidth="1"/>
    <col min="12804" max="12804" width="20.28515625" customWidth="1"/>
    <col min="12805" max="12805" width="13" customWidth="1"/>
    <col min="12806" max="12806" width="14.5703125" customWidth="1"/>
    <col min="12807" max="12807" width="10.85546875" customWidth="1"/>
    <col min="12808" max="12808" width="22.7109375" customWidth="1"/>
    <col min="13057" max="13057" width="2.7109375" customWidth="1"/>
    <col min="13058" max="13058" width="14.7109375" customWidth="1"/>
    <col min="13059" max="13059" width="24" customWidth="1"/>
    <col min="13060" max="13060" width="20.28515625" customWidth="1"/>
    <col min="13061" max="13061" width="13" customWidth="1"/>
    <col min="13062" max="13062" width="14.5703125" customWidth="1"/>
    <col min="13063" max="13063" width="10.85546875" customWidth="1"/>
    <col min="13064" max="13064" width="22.7109375" customWidth="1"/>
    <col min="13313" max="13313" width="2.7109375" customWidth="1"/>
    <col min="13314" max="13314" width="14.7109375" customWidth="1"/>
    <col min="13315" max="13315" width="24" customWidth="1"/>
    <col min="13316" max="13316" width="20.28515625" customWidth="1"/>
    <col min="13317" max="13317" width="13" customWidth="1"/>
    <col min="13318" max="13318" width="14.5703125" customWidth="1"/>
    <col min="13319" max="13319" width="10.85546875" customWidth="1"/>
    <col min="13320" max="13320" width="22.7109375" customWidth="1"/>
    <col min="13569" max="13569" width="2.7109375" customWidth="1"/>
    <col min="13570" max="13570" width="14.7109375" customWidth="1"/>
    <col min="13571" max="13571" width="24" customWidth="1"/>
    <col min="13572" max="13572" width="20.28515625" customWidth="1"/>
    <col min="13573" max="13573" width="13" customWidth="1"/>
    <col min="13574" max="13574" width="14.5703125" customWidth="1"/>
    <col min="13575" max="13575" width="10.85546875" customWidth="1"/>
    <col min="13576" max="13576" width="22.7109375" customWidth="1"/>
    <col min="13825" max="13825" width="2.7109375" customWidth="1"/>
    <col min="13826" max="13826" width="14.7109375" customWidth="1"/>
    <col min="13827" max="13827" width="24" customWidth="1"/>
    <col min="13828" max="13828" width="20.28515625" customWidth="1"/>
    <col min="13829" max="13829" width="13" customWidth="1"/>
    <col min="13830" max="13830" width="14.5703125" customWidth="1"/>
    <col min="13831" max="13831" width="10.85546875" customWidth="1"/>
    <col min="13832" max="13832" width="22.7109375" customWidth="1"/>
    <col min="14081" max="14081" width="2.7109375" customWidth="1"/>
    <col min="14082" max="14082" width="14.7109375" customWidth="1"/>
    <col min="14083" max="14083" width="24" customWidth="1"/>
    <col min="14084" max="14084" width="20.28515625" customWidth="1"/>
    <col min="14085" max="14085" width="13" customWidth="1"/>
    <col min="14086" max="14086" width="14.5703125" customWidth="1"/>
    <col min="14087" max="14087" width="10.85546875" customWidth="1"/>
    <col min="14088" max="14088" width="22.7109375" customWidth="1"/>
    <col min="14337" max="14337" width="2.7109375" customWidth="1"/>
    <col min="14338" max="14338" width="14.7109375" customWidth="1"/>
    <col min="14339" max="14339" width="24" customWidth="1"/>
    <col min="14340" max="14340" width="20.28515625" customWidth="1"/>
    <col min="14341" max="14341" width="13" customWidth="1"/>
    <col min="14342" max="14342" width="14.5703125" customWidth="1"/>
    <col min="14343" max="14343" width="10.85546875" customWidth="1"/>
    <col min="14344" max="14344" width="22.7109375" customWidth="1"/>
    <col min="14593" max="14593" width="2.7109375" customWidth="1"/>
    <col min="14594" max="14594" width="14.7109375" customWidth="1"/>
    <col min="14595" max="14595" width="24" customWidth="1"/>
    <col min="14596" max="14596" width="20.28515625" customWidth="1"/>
    <col min="14597" max="14597" width="13" customWidth="1"/>
    <col min="14598" max="14598" width="14.5703125" customWidth="1"/>
    <col min="14599" max="14599" width="10.85546875" customWidth="1"/>
    <col min="14600" max="14600" width="22.7109375" customWidth="1"/>
    <col min="14849" max="14849" width="2.7109375" customWidth="1"/>
    <col min="14850" max="14850" width="14.7109375" customWidth="1"/>
    <col min="14851" max="14851" width="24" customWidth="1"/>
    <col min="14852" max="14852" width="20.28515625" customWidth="1"/>
    <col min="14853" max="14853" width="13" customWidth="1"/>
    <col min="14854" max="14854" width="14.5703125" customWidth="1"/>
    <col min="14855" max="14855" width="10.85546875" customWidth="1"/>
    <col min="14856" max="14856" width="22.7109375" customWidth="1"/>
    <col min="15105" max="15105" width="2.7109375" customWidth="1"/>
    <col min="15106" max="15106" width="14.7109375" customWidth="1"/>
    <col min="15107" max="15107" width="24" customWidth="1"/>
    <col min="15108" max="15108" width="20.28515625" customWidth="1"/>
    <col min="15109" max="15109" width="13" customWidth="1"/>
    <col min="15110" max="15110" width="14.5703125" customWidth="1"/>
    <col min="15111" max="15111" width="10.85546875" customWidth="1"/>
    <col min="15112" max="15112" width="22.7109375" customWidth="1"/>
    <col min="15361" max="15361" width="2.7109375" customWidth="1"/>
    <col min="15362" max="15362" width="14.7109375" customWidth="1"/>
    <col min="15363" max="15363" width="24" customWidth="1"/>
    <col min="15364" max="15364" width="20.28515625" customWidth="1"/>
    <col min="15365" max="15365" width="13" customWidth="1"/>
    <col min="15366" max="15366" width="14.5703125" customWidth="1"/>
    <col min="15367" max="15367" width="10.85546875" customWidth="1"/>
    <col min="15368" max="15368" width="22.7109375" customWidth="1"/>
    <col min="15617" max="15617" width="2.7109375" customWidth="1"/>
    <col min="15618" max="15618" width="14.7109375" customWidth="1"/>
    <col min="15619" max="15619" width="24" customWidth="1"/>
    <col min="15620" max="15620" width="20.28515625" customWidth="1"/>
    <col min="15621" max="15621" width="13" customWidth="1"/>
    <col min="15622" max="15622" width="14.5703125" customWidth="1"/>
    <col min="15623" max="15623" width="10.85546875" customWidth="1"/>
    <col min="15624" max="15624" width="22.7109375" customWidth="1"/>
    <col min="15873" max="15873" width="2.7109375" customWidth="1"/>
    <col min="15874" max="15874" width="14.7109375" customWidth="1"/>
    <col min="15875" max="15875" width="24" customWidth="1"/>
    <col min="15876" max="15876" width="20.28515625" customWidth="1"/>
    <col min="15877" max="15877" width="13" customWidth="1"/>
    <col min="15878" max="15878" width="14.5703125" customWidth="1"/>
    <col min="15879" max="15879" width="10.85546875" customWidth="1"/>
    <col min="15880" max="15880" width="22.7109375" customWidth="1"/>
    <col min="16129" max="16129" width="2.7109375" customWidth="1"/>
    <col min="16130" max="16130" width="14.7109375" customWidth="1"/>
    <col min="16131" max="16131" width="24" customWidth="1"/>
    <col min="16132" max="16132" width="20.28515625" customWidth="1"/>
    <col min="16133" max="16133" width="13" customWidth="1"/>
    <col min="16134" max="16134" width="14.5703125" customWidth="1"/>
    <col min="16135" max="16135" width="10.85546875" customWidth="1"/>
    <col min="16136" max="16136" width="22.7109375" customWidth="1"/>
  </cols>
  <sheetData>
    <row r="1" spans="2:8" ht="19.149999999999999" customHeight="1">
      <c r="C1" s="95"/>
      <c r="D1" s="95"/>
      <c r="E1" s="95"/>
    </row>
    <row r="2" spans="2:8" ht="17.25" customHeight="1" thickBot="1">
      <c r="B2" s="95" t="s">
        <v>494</v>
      </c>
      <c r="C2" s="96"/>
      <c r="D2" s="96"/>
      <c r="E2" s="96"/>
    </row>
    <row r="3" spans="2:8" s="1" customFormat="1">
      <c r="B3" s="3710" t="s">
        <v>393</v>
      </c>
      <c r="C3" s="3712" t="s">
        <v>394</v>
      </c>
      <c r="D3" s="3714" t="s">
        <v>395</v>
      </c>
      <c r="E3" s="3714"/>
      <c r="F3" s="3714"/>
      <c r="G3" s="3714"/>
      <c r="H3" s="3715"/>
    </row>
    <row r="4" spans="2:8" s="1" customFormat="1">
      <c r="B4" s="3711"/>
      <c r="C4" s="3713"/>
      <c r="D4" s="3716" t="s">
        <v>396</v>
      </c>
      <c r="E4" s="3717"/>
      <c r="F4" s="3718" t="s">
        <v>397</v>
      </c>
      <c r="G4" s="3717"/>
      <c r="H4" s="3721" t="s">
        <v>398</v>
      </c>
    </row>
    <row r="5" spans="2:8" s="1" customFormat="1">
      <c r="B5" s="3711"/>
      <c r="C5" s="3713"/>
      <c r="D5" s="3723" t="s">
        <v>399</v>
      </c>
      <c r="E5" s="3724"/>
      <c r="F5" s="3719"/>
      <c r="G5" s="3720"/>
      <c r="H5" s="3722"/>
    </row>
    <row r="6" spans="2:8" s="1" customFormat="1" ht="11.25" customHeight="1">
      <c r="B6" s="5" t="s">
        <v>495</v>
      </c>
      <c r="C6" s="6" t="s">
        <v>535</v>
      </c>
      <c r="D6" s="3727" t="s">
        <v>496</v>
      </c>
      <c r="E6" s="3728"/>
      <c r="F6" s="50"/>
      <c r="G6" s="57"/>
      <c r="H6" s="51"/>
    </row>
    <row r="7" spans="2:8" s="1" customFormat="1" ht="11.25" customHeight="1">
      <c r="B7" s="49" t="s">
        <v>400</v>
      </c>
      <c r="C7" s="7" t="s">
        <v>756</v>
      </c>
      <c r="D7" s="3729" t="s">
        <v>497</v>
      </c>
      <c r="E7" s="3730"/>
      <c r="F7" s="8"/>
      <c r="G7" s="32"/>
      <c r="H7" s="9"/>
    </row>
    <row r="8" spans="2:8" s="1" customFormat="1" ht="12" customHeight="1">
      <c r="B8" s="5" t="s">
        <v>401</v>
      </c>
      <c r="C8" s="6" t="s">
        <v>535</v>
      </c>
      <c r="D8" s="10" t="s">
        <v>498</v>
      </c>
      <c r="E8" s="98" t="s">
        <v>499</v>
      </c>
      <c r="F8" s="12"/>
      <c r="G8" s="11"/>
      <c r="H8" s="13"/>
    </row>
    <row r="9" spans="2:8" s="1" customFormat="1" ht="11.25" customHeight="1">
      <c r="B9" s="48" t="s">
        <v>402</v>
      </c>
      <c r="C9" s="15" t="s">
        <v>510</v>
      </c>
      <c r="D9" s="16" t="s">
        <v>511</v>
      </c>
      <c r="E9" s="17"/>
      <c r="F9" s="97" t="s">
        <v>737</v>
      </c>
      <c r="G9" s="100" t="s">
        <v>533</v>
      </c>
      <c r="H9" s="2"/>
    </row>
    <row r="10" spans="2:8" s="1" customFormat="1" ht="9.75" customHeight="1">
      <c r="B10" s="19"/>
      <c r="C10" s="7" t="s">
        <v>403</v>
      </c>
      <c r="D10" s="3733" t="s">
        <v>500</v>
      </c>
      <c r="E10" s="3734"/>
      <c r="F10" s="22"/>
      <c r="G10" s="21"/>
      <c r="H10" s="23"/>
    </row>
    <row r="11" spans="2:8" s="1" customFormat="1">
      <c r="B11" s="5" t="s">
        <v>404</v>
      </c>
      <c r="C11" s="6" t="s">
        <v>536</v>
      </c>
      <c r="D11" s="3731" t="s">
        <v>512</v>
      </c>
      <c r="E11" s="3732"/>
      <c r="F11" s="12"/>
      <c r="G11" s="11"/>
      <c r="H11" s="13"/>
    </row>
    <row r="12" spans="2:8" s="1" customFormat="1" ht="12.75" customHeight="1">
      <c r="B12" s="48" t="s">
        <v>405</v>
      </c>
      <c r="C12" s="15" t="s">
        <v>745</v>
      </c>
      <c r="D12" s="16" t="s">
        <v>513</v>
      </c>
      <c r="E12" s="99" t="s">
        <v>501</v>
      </c>
      <c r="F12" s="18" t="s">
        <v>738</v>
      </c>
      <c r="G12" s="99" t="s">
        <v>499</v>
      </c>
      <c r="H12" s="2"/>
    </row>
    <row r="13" spans="2:8" s="1" customFormat="1" ht="22.5">
      <c r="B13" s="24"/>
      <c r="C13" s="15" t="s">
        <v>746</v>
      </c>
      <c r="D13" s="16" t="s">
        <v>502</v>
      </c>
      <c r="E13" s="99" t="s">
        <v>499</v>
      </c>
      <c r="F13" s="18" t="s">
        <v>739</v>
      </c>
      <c r="G13" s="99" t="s">
        <v>503</v>
      </c>
      <c r="H13" s="2"/>
    </row>
    <row r="14" spans="2:8" s="1" customFormat="1" ht="13.5" customHeight="1">
      <c r="B14" s="19"/>
      <c r="C14" s="7" t="s">
        <v>747</v>
      </c>
      <c r="D14" s="20"/>
      <c r="E14" s="21"/>
      <c r="F14" s="25"/>
      <c r="G14" s="21"/>
      <c r="H14" s="23"/>
    </row>
    <row r="15" spans="2:8" s="1" customFormat="1" ht="13.5" customHeight="1">
      <c r="B15" s="14" t="s">
        <v>406</v>
      </c>
      <c r="C15" s="15" t="s">
        <v>536</v>
      </c>
      <c r="D15" s="3731" t="s">
        <v>514</v>
      </c>
      <c r="E15" s="3732"/>
      <c r="F15" s="26"/>
      <c r="G15" s="17"/>
      <c r="H15" s="2"/>
    </row>
    <row r="16" spans="2:8" s="1" customFormat="1" ht="11.25" customHeight="1">
      <c r="B16" s="48" t="s">
        <v>407</v>
      </c>
      <c r="C16" s="15" t="s">
        <v>748</v>
      </c>
      <c r="D16" s="16" t="s">
        <v>515</v>
      </c>
      <c r="E16" s="99" t="s">
        <v>501</v>
      </c>
      <c r="F16" s="18" t="s">
        <v>740</v>
      </c>
      <c r="G16" s="99" t="s">
        <v>499</v>
      </c>
      <c r="H16" s="52" t="s">
        <v>517</v>
      </c>
    </row>
    <row r="17" spans="2:8" s="1" customFormat="1" ht="10.5" customHeight="1">
      <c r="B17" s="24"/>
      <c r="C17" s="15" t="s">
        <v>749</v>
      </c>
      <c r="D17" s="16" t="s">
        <v>502</v>
      </c>
      <c r="E17" s="17"/>
      <c r="F17" s="18" t="s">
        <v>741</v>
      </c>
      <c r="G17" s="99" t="s">
        <v>503</v>
      </c>
      <c r="H17" s="52" t="s">
        <v>504</v>
      </c>
    </row>
    <row r="18" spans="2:8" s="1" customFormat="1">
      <c r="B18" s="19"/>
      <c r="C18" s="7" t="s">
        <v>750</v>
      </c>
      <c r="D18" s="20"/>
      <c r="E18" s="21"/>
      <c r="F18" s="25"/>
      <c r="G18" s="21"/>
      <c r="H18" s="9"/>
    </row>
    <row r="19" spans="2:8" s="1" customFormat="1" ht="11.25" customHeight="1">
      <c r="B19" s="14" t="s">
        <v>408</v>
      </c>
      <c r="C19" s="15" t="s">
        <v>537</v>
      </c>
      <c r="D19" s="3725" t="s">
        <v>516</v>
      </c>
      <c r="E19" s="3726"/>
      <c r="G19" s="17"/>
      <c r="H19" s="52" t="s">
        <v>505</v>
      </c>
    </row>
    <row r="20" spans="2:8" s="1" customFormat="1" ht="9.75" customHeight="1">
      <c r="B20" s="48" t="s">
        <v>409</v>
      </c>
      <c r="C20" s="15" t="s">
        <v>751</v>
      </c>
      <c r="D20" s="16" t="s">
        <v>515</v>
      </c>
      <c r="E20" s="99" t="s">
        <v>501</v>
      </c>
      <c r="F20" s="18" t="s">
        <v>742</v>
      </c>
      <c r="G20" s="99" t="s">
        <v>499</v>
      </c>
      <c r="H20" s="52" t="s">
        <v>518</v>
      </c>
    </row>
    <row r="21" spans="2:8" s="1" customFormat="1" ht="10.5" customHeight="1">
      <c r="B21" s="14"/>
      <c r="C21" s="15" t="s">
        <v>749</v>
      </c>
      <c r="D21" s="16" t="s">
        <v>502</v>
      </c>
      <c r="F21" s="18" t="s">
        <v>743</v>
      </c>
      <c r="G21" s="99" t="s">
        <v>503</v>
      </c>
      <c r="H21" s="53" t="s">
        <v>506</v>
      </c>
    </row>
    <row r="22" spans="2:8" s="1" customFormat="1" ht="12" customHeight="1">
      <c r="B22" s="24"/>
      <c r="C22" s="27" t="s">
        <v>752</v>
      </c>
      <c r="D22" s="3707" t="s">
        <v>805</v>
      </c>
      <c r="E22" s="3708"/>
      <c r="F22" s="3709" t="s">
        <v>806</v>
      </c>
      <c r="G22" s="3708"/>
      <c r="H22" s="52"/>
    </row>
    <row r="23" spans="2:8" s="1" customFormat="1" ht="12" customHeight="1" thickBot="1">
      <c r="B23" s="28"/>
      <c r="C23" s="47" t="s">
        <v>753</v>
      </c>
      <c r="D23" s="29"/>
      <c r="E23" s="30"/>
      <c r="F23" s="29"/>
      <c r="G23" s="30"/>
      <c r="H23" s="31"/>
    </row>
  </sheetData>
  <sheetProtection algorithmName="SHA-512" hashValue="Ww7ZleHIMUjm/h75//nW7F9Rw1iCuv0A07BYCcGaO/nO+Q7T9Ke1qjti/1CS9xoNMTmbgjrNbzYHSey+s3KjUA==" saltValue="nPiSuYdptaxnpaNdbJEfQg==" spinCount="100000" sheet="1" objects="1" scenarios="1"/>
  <mergeCells count="15">
    <mergeCell ref="D22:E22"/>
    <mergeCell ref="F22:G22"/>
    <mergeCell ref="B3:B5"/>
    <mergeCell ref="C3:C5"/>
    <mergeCell ref="D3:H3"/>
    <mergeCell ref="D4:E4"/>
    <mergeCell ref="F4:G5"/>
    <mergeCell ref="H4:H5"/>
    <mergeCell ref="D5:E5"/>
    <mergeCell ref="D19:E19"/>
    <mergeCell ref="D6:E6"/>
    <mergeCell ref="D7:E7"/>
    <mergeCell ref="D11:E11"/>
    <mergeCell ref="D10:E10"/>
    <mergeCell ref="D15:E15"/>
  </mergeCells>
  <pageMargins left="0.7" right="0.7" top="0.75" bottom="0.75" header="0.3" footer="0.3"/>
  <pageSetup paperSize="9" orientation="landscape"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4"/>
  <sheetViews>
    <sheetView showGridLines="0" topLeftCell="A20" zoomScale="146" zoomScaleNormal="146" workbookViewId="0">
      <selection activeCell="A6" sqref="A6"/>
    </sheetView>
  </sheetViews>
  <sheetFormatPr baseColWidth="10" defaultColWidth="11.42578125" defaultRowHeight="12.75"/>
  <cols>
    <col min="1" max="1" width="3.85546875" customWidth="1"/>
    <col min="2" max="10" width="11.7109375" customWidth="1"/>
    <col min="11" max="11" width="23.5703125" customWidth="1"/>
    <col min="12" max="12" width="11.7109375" customWidth="1"/>
  </cols>
  <sheetData>
    <row r="1" spans="2:10" ht="30" customHeight="1">
      <c r="B1" s="3753" t="s">
        <v>435</v>
      </c>
      <c r="C1" s="3753"/>
    </row>
    <row r="2" spans="2:10" ht="8.4499999999999993" customHeight="1">
      <c r="E2" s="55"/>
      <c r="F2" s="55"/>
      <c r="G2" s="55"/>
      <c r="H2" s="55"/>
      <c r="I2" s="55"/>
      <c r="J2" s="55"/>
    </row>
    <row r="3" spans="2:10" ht="17.25" customHeight="1">
      <c r="B3" s="4" t="s">
        <v>624</v>
      </c>
      <c r="C3" s="55"/>
      <c r="D3" s="55"/>
      <c r="E3" s="55"/>
      <c r="F3" s="55"/>
      <c r="G3" s="55"/>
      <c r="H3" s="55"/>
      <c r="I3" s="55"/>
      <c r="J3" s="55"/>
    </row>
    <row r="4" spans="2:10">
      <c r="D4" s="55"/>
      <c r="E4" s="55"/>
      <c r="F4" s="55"/>
      <c r="G4" s="55"/>
      <c r="H4" s="55"/>
      <c r="I4" s="55"/>
      <c r="J4" s="55"/>
    </row>
    <row r="50" spans="1:9" ht="18" customHeight="1">
      <c r="A50" s="39"/>
      <c r="B50" s="42" t="s">
        <v>551</v>
      </c>
      <c r="C50" s="3"/>
      <c r="D50" s="3"/>
      <c r="G50" s="46" t="s">
        <v>558</v>
      </c>
    </row>
    <row r="51" spans="1:9" ht="18" customHeight="1">
      <c r="A51" s="43" t="s">
        <v>171</v>
      </c>
      <c r="B51" s="36" t="s">
        <v>540</v>
      </c>
      <c r="C51" s="37"/>
      <c r="D51" s="37"/>
      <c r="E51" s="37"/>
      <c r="F51" s="38"/>
      <c r="G51" s="33" t="s">
        <v>538</v>
      </c>
      <c r="I51" s="3"/>
    </row>
    <row r="52" spans="1:9" ht="18" customHeight="1">
      <c r="A52" s="3745" t="s">
        <v>172</v>
      </c>
      <c r="B52" s="3749" t="s">
        <v>542</v>
      </c>
      <c r="C52" s="3750"/>
      <c r="D52" s="37" t="s">
        <v>539</v>
      </c>
      <c r="E52" s="37"/>
      <c r="F52" s="38"/>
      <c r="G52" s="33" t="s">
        <v>543</v>
      </c>
      <c r="I52" s="3"/>
    </row>
    <row r="53" spans="1:9" ht="18" customHeight="1">
      <c r="A53" s="3738"/>
      <c r="B53" s="3751"/>
      <c r="C53" s="3752"/>
      <c r="D53" s="56" t="s">
        <v>541</v>
      </c>
      <c r="E53" s="56"/>
      <c r="F53" s="34"/>
      <c r="G53" s="35" t="s">
        <v>544</v>
      </c>
      <c r="I53" s="3"/>
    </row>
    <row r="54" spans="1:9" ht="18" customHeight="1">
      <c r="A54" s="3737" t="s">
        <v>173</v>
      </c>
      <c r="B54" s="3746" t="s">
        <v>545</v>
      </c>
      <c r="C54" s="3747"/>
      <c r="D54" s="3747"/>
      <c r="E54" s="3747"/>
      <c r="F54" s="3748"/>
      <c r="G54" s="3735">
        <v>1.6</v>
      </c>
      <c r="I54" s="3"/>
    </row>
    <row r="55" spans="1:9" ht="18" customHeight="1">
      <c r="A55" s="3738"/>
      <c r="B55" s="3742"/>
      <c r="C55" s="3743"/>
      <c r="D55" s="3743"/>
      <c r="E55" s="3743"/>
      <c r="F55" s="3744"/>
      <c r="G55" s="3736"/>
      <c r="I55" s="3"/>
    </row>
    <row r="56" spans="1:9" ht="18" customHeight="1">
      <c r="A56" s="3745" t="s">
        <v>174</v>
      </c>
      <c r="B56" s="3746" t="s">
        <v>546</v>
      </c>
      <c r="C56" s="3747"/>
      <c r="D56" s="3747"/>
      <c r="E56" s="3747"/>
      <c r="F56" s="3748"/>
      <c r="G56" s="3735">
        <v>1.3</v>
      </c>
      <c r="I56" s="3"/>
    </row>
    <row r="57" spans="1:9" ht="18" customHeight="1">
      <c r="A57" s="3738"/>
      <c r="B57" s="3742"/>
      <c r="C57" s="3743"/>
      <c r="D57" s="3743"/>
      <c r="E57" s="3743"/>
      <c r="F57" s="3744"/>
      <c r="G57" s="3736"/>
      <c r="I57" s="3"/>
    </row>
    <row r="58" spans="1:9" ht="18" customHeight="1">
      <c r="A58" s="3737" t="s">
        <v>175</v>
      </c>
      <c r="B58" s="3746" t="s">
        <v>547</v>
      </c>
      <c r="C58" s="3747"/>
      <c r="D58" s="3747"/>
      <c r="E58" s="3747"/>
      <c r="F58" s="3748"/>
      <c r="G58" s="3735">
        <v>1</v>
      </c>
      <c r="I58" s="3"/>
    </row>
    <row r="59" spans="1:9" ht="18" customHeight="1">
      <c r="A59" s="3738"/>
      <c r="B59" s="3742"/>
      <c r="C59" s="3743"/>
      <c r="D59" s="3743"/>
      <c r="E59" s="3743"/>
      <c r="F59" s="3744"/>
      <c r="G59" s="3736"/>
    </row>
    <row r="60" spans="1:9" ht="18" customHeight="1">
      <c r="A60" s="3745" t="s">
        <v>132</v>
      </c>
      <c r="B60" s="3739" t="s">
        <v>548</v>
      </c>
      <c r="C60" s="3740"/>
      <c r="D60" s="3740"/>
      <c r="E60" s="3740"/>
      <c r="F60" s="3741"/>
      <c r="G60" s="3735">
        <v>0.8</v>
      </c>
    </row>
    <row r="61" spans="1:9" ht="18" customHeight="1">
      <c r="A61" s="3738"/>
      <c r="B61" s="3742"/>
      <c r="C61" s="3743"/>
      <c r="D61" s="3743"/>
      <c r="E61" s="3743"/>
      <c r="F61" s="3744"/>
      <c r="G61" s="3736"/>
    </row>
    <row r="62" spans="1:9" ht="18" customHeight="1">
      <c r="A62" s="3737" t="s">
        <v>176</v>
      </c>
      <c r="B62" s="3746" t="s">
        <v>549</v>
      </c>
      <c r="C62" s="3747"/>
      <c r="D62" s="3747"/>
      <c r="E62" s="3747"/>
      <c r="F62" s="3748"/>
      <c r="G62" s="3735">
        <v>0.5</v>
      </c>
    </row>
    <row r="63" spans="1:9" ht="18" customHeight="1">
      <c r="A63" s="3738"/>
      <c r="B63" s="3742"/>
      <c r="C63" s="3743"/>
      <c r="D63" s="3743"/>
      <c r="E63" s="3743"/>
      <c r="F63" s="3744"/>
      <c r="G63" s="3736"/>
    </row>
    <row r="64" spans="1:9" ht="15.75" customHeight="1">
      <c r="A64" s="44"/>
      <c r="B64" s="41" t="s">
        <v>550</v>
      </c>
      <c r="C64" s="40"/>
      <c r="D64" s="40"/>
      <c r="E64" s="40"/>
      <c r="F64" s="40"/>
      <c r="G64" s="45"/>
    </row>
  </sheetData>
  <sheetProtection algorithmName="SHA-512" hashValue="LH1tlsZCKNNNexLGCeQrh1hMRCflIuqT19Gs1ZhWkX7OZq2k2osA+78Dl55mtm2thZxnFyH+f+Q1W/LGXVl0+g==" saltValue="BGbCIU8Aho1nbGLFeBeWtQ==" spinCount="100000" sheet="1" objects="1" scenarios="1"/>
  <mergeCells count="18">
    <mergeCell ref="B1:C1"/>
    <mergeCell ref="A52:A53"/>
    <mergeCell ref="B54:F55"/>
    <mergeCell ref="G54:G55"/>
    <mergeCell ref="A54:A55"/>
    <mergeCell ref="B56:F57"/>
    <mergeCell ref="A56:A57"/>
    <mergeCell ref="G56:G57"/>
    <mergeCell ref="B52:C53"/>
    <mergeCell ref="G58:G59"/>
    <mergeCell ref="G60:G61"/>
    <mergeCell ref="G62:G63"/>
    <mergeCell ref="A58:A59"/>
    <mergeCell ref="B60:F61"/>
    <mergeCell ref="A60:A61"/>
    <mergeCell ref="B62:F63"/>
    <mergeCell ref="A62:A63"/>
    <mergeCell ref="B58:F59"/>
  </mergeCells>
  <pageMargins left="0.7" right="0.7" top="0.75" bottom="0.75" header="0.3" footer="0.3"/>
  <pageSetup paperSize="9" orientation="landscape"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W20"/>
  <sheetViews>
    <sheetView showGridLines="0" zoomScale="95" zoomScaleNormal="95" workbookViewId="0">
      <selection activeCell="K27" sqref="K27"/>
    </sheetView>
  </sheetViews>
  <sheetFormatPr baseColWidth="10" defaultColWidth="11.42578125" defaultRowHeight="12.75"/>
  <cols>
    <col min="1" max="1" width="4.85546875" customWidth="1"/>
    <col min="6" max="6" width="12.42578125" customWidth="1"/>
    <col min="7" max="7" width="12.5703125" customWidth="1"/>
    <col min="8" max="8" width="13.140625" customWidth="1"/>
    <col min="9" max="9" width="13" customWidth="1"/>
    <col min="11" max="12" width="9" customWidth="1"/>
    <col min="13" max="13" width="8.28515625" customWidth="1"/>
    <col min="14" max="14" width="11.42578125" customWidth="1"/>
    <col min="15" max="15" width="11.5703125" customWidth="1"/>
    <col min="260" max="260" width="2.42578125" customWidth="1"/>
    <col min="516" max="516" width="2.42578125" customWidth="1"/>
    <col min="772" max="772" width="2.42578125" customWidth="1"/>
    <col min="1028" max="1028" width="2.42578125" customWidth="1"/>
    <col min="1284" max="1284" width="2.42578125" customWidth="1"/>
    <col min="1540" max="1540" width="2.42578125" customWidth="1"/>
    <col min="1796" max="1796" width="2.42578125" customWidth="1"/>
    <col min="2052" max="2052" width="2.42578125" customWidth="1"/>
    <col min="2308" max="2308" width="2.42578125" customWidth="1"/>
    <col min="2564" max="2564" width="2.42578125" customWidth="1"/>
    <col min="2820" max="2820" width="2.42578125" customWidth="1"/>
    <col min="3076" max="3076" width="2.42578125" customWidth="1"/>
    <col min="3332" max="3332" width="2.42578125" customWidth="1"/>
    <col min="3588" max="3588" width="2.42578125" customWidth="1"/>
    <col min="3844" max="3844" width="2.42578125" customWidth="1"/>
    <col min="4100" max="4100" width="2.42578125" customWidth="1"/>
    <col min="4356" max="4356" width="2.42578125" customWidth="1"/>
    <col min="4612" max="4612" width="2.42578125" customWidth="1"/>
    <col min="4868" max="4868" width="2.42578125" customWidth="1"/>
    <col min="5124" max="5124" width="2.42578125" customWidth="1"/>
    <col min="5380" max="5380" width="2.42578125" customWidth="1"/>
    <col min="5636" max="5636" width="2.42578125" customWidth="1"/>
    <col min="5892" max="5892" width="2.42578125" customWidth="1"/>
    <col min="6148" max="6148" width="2.42578125" customWidth="1"/>
    <col min="6404" max="6404" width="2.42578125" customWidth="1"/>
    <col min="6660" max="6660" width="2.42578125" customWidth="1"/>
    <col min="6916" max="6916" width="2.42578125" customWidth="1"/>
    <col min="7172" max="7172" width="2.42578125" customWidth="1"/>
    <col min="7428" max="7428" width="2.42578125" customWidth="1"/>
    <col min="7684" max="7684" width="2.42578125" customWidth="1"/>
    <col min="7940" max="7940" width="2.42578125" customWidth="1"/>
    <col min="8196" max="8196" width="2.42578125" customWidth="1"/>
    <col min="8452" max="8452" width="2.42578125" customWidth="1"/>
    <col min="8708" max="8708" width="2.42578125" customWidth="1"/>
    <col min="8964" max="8964" width="2.42578125" customWidth="1"/>
    <col min="9220" max="9220" width="2.42578125" customWidth="1"/>
    <col min="9476" max="9476" width="2.42578125" customWidth="1"/>
    <col min="9732" max="9732" width="2.42578125" customWidth="1"/>
    <col min="9988" max="9988" width="2.42578125" customWidth="1"/>
    <col min="10244" max="10244" width="2.42578125" customWidth="1"/>
    <col min="10500" max="10500" width="2.42578125" customWidth="1"/>
    <col min="10756" max="10756" width="2.42578125" customWidth="1"/>
    <col min="11012" max="11012" width="2.42578125" customWidth="1"/>
    <col min="11268" max="11268" width="2.42578125" customWidth="1"/>
    <col min="11524" max="11524" width="2.42578125" customWidth="1"/>
    <col min="11780" max="11780" width="2.42578125" customWidth="1"/>
    <col min="12036" max="12036" width="2.42578125" customWidth="1"/>
    <col min="12292" max="12292" width="2.42578125" customWidth="1"/>
    <col min="12548" max="12548" width="2.42578125" customWidth="1"/>
    <col min="12804" max="12804" width="2.42578125" customWidth="1"/>
    <col min="13060" max="13060" width="2.42578125" customWidth="1"/>
    <col min="13316" max="13316" width="2.42578125" customWidth="1"/>
    <col min="13572" max="13572" width="2.42578125" customWidth="1"/>
    <col min="13828" max="13828" width="2.42578125" customWidth="1"/>
    <col min="14084" max="14084" width="2.42578125" customWidth="1"/>
    <col min="14340" max="14340" width="2.42578125" customWidth="1"/>
    <col min="14596" max="14596" width="2.42578125" customWidth="1"/>
    <col min="14852" max="14852" width="2.42578125" customWidth="1"/>
    <col min="15108" max="15108" width="2.42578125" customWidth="1"/>
    <col min="15364" max="15364" width="2.42578125" customWidth="1"/>
    <col min="15620" max="15620" width="2.42578125" customWidth="1"/>
    <col min="15876" max="15876" width="2.42578125" customWidth="1"/>
    <col min="16132" max="16132" width="2.42578125" customWidth="1"/>
  </cols>
  <sheetData>
    <row r="2" spans="2:23" ht="18" customHeight="1">
      <c r="B2" s="89"/>
      <c r="C2" s="89"/>
      <c r="D2" s="89"/>
      <c r="E2" s="89"/>
      <c r="F2" s="89"/>
      <c r="G2" s="89"/>
      <c r="H2" s="89"/>
      <c r="I2" s="89"/>
      <c r="J2" s="89"/>
      <c r="K2" s="1739" t="s">
        <v>1161</v>
      </c>
      <c r="L2" s="89"/>
      <c r="M2" s="89"/>
      <c r="N2" s="89"/>
      <c r="Q2" s="89"/>
      <c r="R2" s="89"/>
      <c r="S2" s="89"/>
      <c r="T2" s="89"/>
      <c r="U2" s="89"/>
      <c r="V2" s="88"/>
      <c r="W2" s="54"/>
    </row>
    <row r="3" spans="2:23" ht="18" customHeight="1">
      <c r="B3" s="89"/>
      <c r="C3" s="89"/>
      <c r="D3" s="89"/>
      <c r="E3" s="89"/>
      <c r="F3" s="89"/>
      <c r="G3" s="89"/>
      <c r="H3" s="89"/>
      <c r="I3" s="89"/>
      <c r="J3" s="89"/>
      <c r="K3" s="89"/>
      <c r="L3" s="89"/>
      <c r="M3" s="89"/>
      <c r="N3" s="89"/>
      <c r="O3" s="89"/>
      <c r="P3" s="89"/>
      <c r="Q3" s="89"/>
      <c r="R3" s="89"/>
      <c r="S3" s="89"/>
      <c r="T3" s="89"/>
      <c r="U3" s="89"/>
      <c r="V3" s="88"/>
      <c r="W3" s="54"/>
    </row>
    <row r="4" spans="2:23">
      <c r="B4" s="3"/>
    </row>
    <row r="15" spans="2:23" ht="15.75" customHeight="1">
      <c r="Q15" s="91"/>
      <c r="R15" s="91"/>
      <c r="S15" s="91"/>
      <c r="T15" s="91"/>
      <c r="U15" s="91"/>
    </row>
    <row r="16" spans="2:23" ht="12.75" customHeight="1">
      <c r="L16" s="1738" t="s">
        <v>807</v>
      </c>
      <c r="O16" s="90"/>
      <c r="P16" s="91"/>
      <c r="Q16" s="91"/>
      <c r="R16" s="91"/>
      <c r="S16" s="91"/>
      <c r="T16" s="91"/>
      <c r="U16" s="91"/>
    </row>
    <row r="17" spans="18:22" ht="24" customHeight="1"/>
    <row r="20" spans="18:22" ht="15.75" customHeight="1">
      <c r="R20" s="1737"/>
      <c r="S20" s="1737"/>
      <c r="T20" s="1737"/>
      <c r="U20" s="1737"/>
      <c r="V20" s="1737"/>
    </row>
  </sheetData>
  <sheetProtection algorithmName="SHA-512" hashValue="KmxVbH6rxw6dM8yDnkRkmHt+F0H/QduMAldTIgtni8dx3IfkYqyRPseODp+QxO4jH0diSpYDNI23F0YimU1gpg==" saltValue="9/PNC3la24HpU7XqqUwHhA==" spinCount="100000" sheet="1" objects="1" scenarios="1"/>
  <pageMargins left="0.83" right="0.48" top="0.75" bottom="0.75" header="0.3" footer="0.3"/>
  <pageSetup paperSize="9"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F9528-3E39-4CF3-A677-0041A179F3E7}">
  <dimension ref="B1:P58"/>
  <sheetViews>
    <sheetView showGridLines="0" topLeftCell="A24" workbookViewId="0">
      <selection activeCell="R47" sqref="R47"/>
    </sheetView>
  </sheetViews>
  <sheetFormatPr baseColWidth="10" defaultColWidth="11.42578125" defaultRowHeight="12.75"/>
  <cols>
    <col min="1" max="1" width="1.28515625" customWidth="1"/>
    <col min="11" max="11" width="11.85546875" customWidth="1"/>
    <col min="13" max="13" width="10.7109375" customWidth="1"/>
    <col min="14" max="14" width="10" customWidth="1"/>
    <col min="15" max="15" width="10.85546875" customWidth="1"/>
    <col min="16" max="16" width="9.85546875" customWidth="1"/>
  </cols>
  <sheetData>
    <row r="1" spans="2:16" ht="25.5" customHeight="1">
      <c r="B1" s="103" t="s">
        <v>818</v>
      </c>
      <c r="C1" s="104"/>
      <c r="D1" s="104"/>
      <c r="E1" s="104"/>
      <c r="F1" s="104"/>
      <c r="G1" s="104"/>
      <c r="H1" s="104"/>
      <c r="I1" s="104"/>
      <c r="J1" s="104"/>
      <c r="K1" s="104"/>
      <c r="L1" s="103" t="s">
        <v>819</v>
      </c>
      <c r="M1" s="104"/>
    </row>
    <row r="2" spans="2:16" ht="7.5" customHeight="1"/>
    <row r="3" spans="2:16">
      <c r="L3" s="105"/>
      <c r="M3" s="106"/>
      <c r="N3" s="106"/>
      <c r="O3" s="106"/>
      <c r="P3" s="107"/>
    </row>
    <row r="4" spans="2:16">
      <c r="L4" s="108"/>
      <c r="P4" s="102"/>
    </row>
    <row r="5" spans="2:16">
      <c r="L5" s="108"/>
      <c r="P5" s="102"/>
    </row>
    <row r="6" spans="2:16">
      <c r="L6" s="108"/>
      <c r="P6" s="102"/>
    </row>
    <row r="7" spans="2:16">
      <c r="L7" s="108"/>
      <c r="P7" s="102"/>
    </row>
    <row r="8" spans="2:16">
      <c r="L8" s="108"/>
      <c r="P8" s="102"/>
    </row>
    <row r="9" spans="2:16">
      <c r="L9" s="108"/>
      <c r="P9" s="102"/>
    </row>
    <row r="10" spans="2:16">
      <c r="L10" s="108"/>
      <c r="P10" s="102"/>
    </row>
    <row r="11" spans="2:16">
      <c r="L11" s="108"/>
      <c r="P11" s="102"/>
    </row>
    <row r="12" spans="2:16">
      <c r="L12" s="108"/>
      <c r="P12" s="102"/>
    </row>
    <row r="13" spans="2:16">
      <c r="L13" s="108"/>
      <c r="P13" s="102"/>
    </row>
    <row r="14" spans="2:16">
      <c r="L14" s="108"/>
      <c r="P14" s="102"/>
    </row>
    <row r="15" spans="2:16">
      <c r="L15" s="108"/>
      <c r="P15" s="102"/>
    </row>
    <row r="16" spans="2:16">
      <c r="L16" s="108"/>
      <c r="P16" s="102"/>
    </row>
    <row r="17" spans="12:16">
      <c r="L17" s="108"/>
      <c r="P17" s="102"/>
    </row>
    <row r="18" spans="12:16">
      <c r="L18" s="108"/>
      <c r="P18" s="102"/>
    </row>
    <row r="19" spans="12:16">
      <c r="L19" s="108"/>
      <c r="P19" s="102"/>
    </row>
    <row r="20" spans="12:16">
      <c r="L20" s="108"/>
      <c r="P20" s="102"/>
    </row>
    <row r="21" spans="12:16">
      <c r="L21" s="108"/>
      <c r="P21" s="102"/>
    </row>
    <row r="22" spans="12:16">
      <c r="L22" s="108"/>
      <c r="P22" s="102"/>
    </row>
    <row r="23" spans="12:16">
      <c r="L23" s="108"/>
      <c r="P23" s="102"/>
    </row>
    <row r="24" spans="12:16">
      <c r="L24" s="108"/>
      <c r="P24" s="102"/>
    </row>
    <row r="25" spans="12:16">
      <c r="L25" s="108"/>
      <c r="P25" s="102"/>
    </row>
    <row r="26" spans="12:16">
      <c r="L26" s="108"/>
      <c r="P26" s="102"/>
    </row>
    <row r="27" spans="12:16">
      <c r="L27" s="108"/>
      <c r="P27" s="102"/>
    </row>
    <row r="28" spans="12:16">
      <c r="L28" s="108"/>
      <c r="P28" s="102"/>
    </row>
    <row r="29" spans="12:16">
      <c r="L29" s="108"/>
      <c r="P29" s="102"/>
    </row>
    <row r="30" spans="12:16">
      <c r="L30" s="108"/>
      <c r="P30" s="102"/>
    </row>
    <row r="31" spans="12:16">
      <c r="L31" s="108"/>
      <c r="P31" s="102"/>
    </row>
    <row r="32" spans="12:16">
      <c r="L32" s="108"/>
      <c r="P32" s="102"/>
    </row>
    <row r="33" spans="2:16">
      <c r="L33" s="108"/>
      <c r="P33" s="102"/>
    </row>
    <row r="34" spans="2:16">
      <c r="L34" s="108"/>
      <c r="P34" s="102"/>
    </row>
    <row r="35" spans="2:16">
      <c r="L35" s="108"/>
      <c r="P35" s="102"/>
    </row>
    <row r="36" spans="2:16">
      <c r="L36" s="108"/>
      <c r="P36" s="102"/>
    </row>
    <row r="37" spans="2:16">
      <c r="L37" s="108"/>
      <c r="P37" s="102"/>
    </row>
    <row r="38" spans="2:16">
      <c r="L38" s="108"/>
      <c r="P38" s="102"/>
    </row>
    <row r="39" spans="2:16">
      <c r="L39" s="108"/>
      <c r="P39" s="102"/>
    </row>
    <row r="40" spans="2:16">
      <c r="L40" s="108"/>
      <c r="P40" s="102"/>
    </row>
    <row r="41" spans="2:16">
      <c r="L41" s="109"/>
      <c r="M41" s="39"/>
      <c r="N41" s="39"/>
      <c r="O41" s="39"/>
      <c r="P41" s="110"/>
    </row>
    <row r="44" spans="2:16" ht="15">
      <c r="B44" s="111" t="s">
        <v>820</v>
      </c>
      <c r="C44" s="106"/>
      <c r="D44" s="106"/>
      <c r="E44" s="106"/>
      <c r="F44" s="106"/>
      <c r="G44" s="106"/>
      <c r="H44" s="106"/>
      <c r="I44" s="106"/>
      <c r="J44" s="106"/>
      <c r="K44" s="106"/>
      <c r="L44" s="106"/>
      <c r="M44" s="106"/>
      <c r="N44" s="106"/>
      <c r="O44" s="106"/>
      <c r="P44" s="107"/>
    </row>
    <row r="45" spans="2:16">
      <c r="B45" s="112" t="s">
        <v>821</v>
      </c>
      <c r="P45" s="102"/>
    </row>
    <row r="46" spans="2:16">
      <c r="B46" s="112" t="s">
        <v>822</v>
      </c>
      <c r="P46" s="102"/>
    </row>
    <row r="47" spans="2:16">
      <c r="B47" s="112"/>
      <c r="P47" s="102"/>
    </row>
    <row r="48" spans="2:16">
      <c r="B48" s="112" t="s">
        <v>823</v>
      </c>
      <c r="P48" s="102"/>
    </row>
    <row r="49" spans="2:16" ht="13.5" customHeight="1">
      <c r="B49" s="112" t="s">
        <v>824</v>
      </c>
      <c r="P49" s="102"/>
    </row>
    <row r="50" spans="2:16" ht="15.75" customHeight="1">
      <c r="B50" s="3754" t="s">
        <v>825</v>
      </c>
      <c r="C50" s="3755"/>
      <c r="D50" s="3755"/>
      <c r="E50" s="3755"/>
      <c r="F50" s="3755"/>
      <c r="G50" s="3755"/>
      <c r="H50" s="3755"/>
      <c r="I50" s="3755"/>
      <c r="J50" s="3755"/>
      <c r="K50" s="3755"/>
      <c r="L50" s="3755"/>
      <c r="M50" s="3755"/>
      <c r="N50" s="3755"/>
      <c r="O50" s="3755"/>
      <c r="P50" s="3756"/>
    </row>
    <row r="51" spans="2:16" ht="15" customHeight="1">
      <c r="B51" s="3754"/>
      <c r="C51" s="3755"/>
      <c r="D51" s="3755"/>
      <c r="E51" s="3755"/>
      <c r="F51" s="3755"/>
      <c r="G51" s="3755"/>
      <c r="H51" s="3755"/>
      <c r="I51" s="3755"/>
      <c r="J51" s="3755"/>
      <c r="K51" s="3755"/>
      <c r="L51" s="3755"/>
      <c r="M51" s="3755"/>
      <c r="N51" s="3755"/>
      <c r="O51" s="3755"/>
      <c r="P51" s="3756"/>
    </row>
    <row r="52" spans="2:16">
      <c r="B52" s="108"/>
      <c r="P52" s="102"/>
    </row>
    <row r="53" spans="2:16">
      <c r="B53" s="3754" t="s">
        <v>826</v>
      </c>
      <c r="C53" s="3755"/>
      <c r="D53" s="3755"/>
      <c r="E53" s="3755"/>
      <c r="F53" s="3755"/>
      <c r="G53" s="3755"/>
      <c r="H53" s="3755"/>
      <c r="I53" s="3755"/>
      <c r="J53" s="3755"/>
      <c r="K53" s="3755"/>
      <c r="L53" s="3755"/>
      <c r="M53" s="3755"/>
      <c r="N53" s="3755"/>
      <c r="O53" s="3755"/>
      <c r="P53" s="3756"/>
    </row>
    <row r="54" spans="2:16">
      <c r="B54" s="3754"/>
      <c r="C54" s="3755"/>
      <c r="D54" s="3755"/>
      <c r="E54" s="3755"/>
      <c r="F54" s="3755"/>
      <c r="G54" s="3755"/>
      <c r="H54" s="3755"/>
      <c r="I54" s="3755"/>
      <c r="J54" s="3755"/>
      <c r="K54" s="3755"/>
      <c r="L54" s="3755"/>
      <c r="M54" s="3755"/>
      <c r="N54" s="3755"/>
      <c r="O54" s="3755"/>
      <c r="P54" s="3756"/>
    </row>
    <row r="55" spans="2:16">
      <c r="B55" s="3754"/>
      <c r="C55" s="3755"/>
      <c r="D55" s="3755"/>
      <c r="E55" s="3755"/>
      <c r="F55" s="3755"/>
      <c r="G55" s="3755"/>
      <c r="H55" s="3755"/>
      <c r="I55" s="3755"/>
      <c r="J55" s="3755"/>
      <c r="K55" s="3755"/>
      <c r="L55" s="3755"/>
      <c r="M55" s="3755"/>
      <c r="N55" s="3755"/>
      <c r="O55" s="3755"/>
      <c r="P55" s="3756"/>
    </row>
    <row r="56" spans="2:16">
      <c r="B56" s="3754"/>
      <c r="C56" s="3755"/>
      <c r="D56" s="3755"/>
      <c r="E56" s="3755"/>
      <c r="F56" s="3755"/>
      <c r="G56" s="3755"/>
      <c r="H56" s="3755"/>
      <c r="I56" s="3755"/>
      <c r="J56" s="3755"/>
      <c r="K56" s="3755"/>
      <c r="L56" s="3755"/>
      <c r="M56" s="3755"/>
      <c r="N56" s="3755"/>
      <c r="O56" s="3755"/>
      <c r="P56" s="3756"/>
    </row>
    <row r="57" spans="2:16">
      <c r="B57" s="3754"/>
      <c r="C57" s="3755"/>
      <c r="D57" s="3755"/>
      <c r="E57" s="3755"/>
      <c r="F57" s="3755"/>
      <c r="G57" s="3755"/>
      <c r="H57" s="3755"/>
      <c r="I57" s="3755"/>
      <c r="J57" s="3755"/>
      <c r="K57" s="3755"/>
      <c r="L57" s="3755"/>
      <c r="M57" s="3755"/>
      <c r="N57" s="3755"/>
      <c r="O57" s="3755"/>
      <c r="P57" s="3756"/>
    </row>
    <row r="58" spans="2:16">
      <c r="B58" s="3757"/>
      <c r="C58" s="3758"/>
      <c r="D58" s="3758"/>
      <c r="E58" s="3758"/>
      <c r="F58" s="3758"/>
      <c r="G58" s="3758"/>
      <c r="H58" s="3758"/>
      <c r="I58" s="3758"/>
      <c r="J58" s="3758"/>
      <c r="K58" s="3758"/>
      <c r="L58" s="3758"/>
      <c r="M58" s="3758"/>
      <c r="N58" s="3758"/>
      <c r="O58" s="3758"/>
      <c r="P58" s="3759"/>
    </row>
  </sheetData>
  <sheetProtection algorithmName="SHA-512" hashValue="S+Co32t73vdf9PZRizZnRORMLaA9FZxZJr/3H4iAKZyQa+OWELTjDkLN3J3XAhJW1HdUfvnPutdhxuza5UgSog==" saltValue="sD2SQ2qUCByeJ+X5n6zn9g==" spinCount="100000" sheet="1" objects="1" scenarios="1"/>
  <mergeCells count="2">
    <mergeCell ref="B50:P51"/>
    <mergeCell ref="B53:P5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714E79E8AD164AB01936FBE0F18BB9" ma:contentTypeVersion="21" ma:contentTypeDescription="Opprett et nytt dokument." ma:contentTypeScope="" ma:versionID="45c6a0cc21922d2bde09fc0d4d352083">
  <xsd:schema xmlns:xsd="http://www.w3.org/2001/XMLSchema" xmlns:xs="http://www.w3.org/2001/XMLSchema" xmlns:p="http://schemas.microsoft.com/office/2006/metadata/properties" xmlns:ns1="http://schemas.microsoft.com/sharepoint/v3" xmlns:ns2="a1e5f693-2071-4d4e-9b0b-e0ba1c09c27e" xmlns:ns3="d637a484-a92d-4ff8-9bfb-8b9ee90084d7" targetNamespace="http://schemas.microsoft.com/office/2006/metadata/properties" ma:root="true" ma:fieldsID="9f0db74e0c0d5160b81bc72c2237a970" ns1:_="" ns2:_="" ns3:_="">
    <xsd:import namespace="http://schemas.microsoft.com/sharepoint/v3"/>
    <xsd:import namespace="a1e5f693-2071-4d4e-9b0b-e0ba1c09c27e"/>
    <xsd:import namespace="d637a484-a92d-4ff8-9bfb-8b9ee90084d7"/>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Egenskaper for samordnet samsvarspolicy" ma:hidden="true" ma:internalName="_ip_UnifiedCompliancePolicyProperties">
      <xsd:simpleType>
        <xsd:restriction base="dms:Note"/>
      </xsd:simpleType>
    </xsd:element>
    <xsd:element name="_ip_UnifiedCompliancePolicyUIAction" ma:index="27" nillable="true" ma:displayName="UI-handling for samordnet samsvarspolicy"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e5f693-2071-4d4e-9b0b-e0ba1c09c2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82025e3d-d55c-4e1f-aa86-242ae86223fb"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37a484-a92d-4ff8-9bfb-8b9ee90084d7"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e3403f58-6ebd-4ecd-90b7-54193e25ce2c}" ma:internalName="TaxCatchAll" ma:showField="CatchAllData" ma:web="d637a484-a92d-4ff8-9bfb-8b9ee90084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637a484-a92d-4ff8-9bfb-8b9ee90084d7" xsi:nil="true"/>
    <_ip_UnifiedCompliancePolicyProperties xmlns="http://schemas.microsoft.com/sharepoint/v3" xsi:nil="true"/>
    <lcf76f155ced4ddcb4097134ff3c332f xmlns="a1e5f693-2071-4d4e-9b0b-e0ba1c09c27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88D739-4F3B-409F-8436-AD78C0D0309B}"/>
</file>

<file path=customXml/itemProps2.xml><?xml version="1.0" encoding="utf-8"?>
<ds:datastoreItem xmlns:ds="http://schemas.openxmlformats.org/officeDocument/2006/customXml" ds:itemID="{7FAC7B34-3E2D-4DD6-BE1E-EB4E77F6022B}"/>
</file>

<file path=customXml/itemProps3.xml><?xml version="1.0" encoding="utf-8"?>
<ds:datastoreItem xmlns:ds="http://schemas.openxmlformats.org/officeDocument/2006/customXml" ds:itemID="{B8270A81-0148-4845-9F7F-3A3CA7D17D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How to start</vt:lpstr>
      <vt:lpstr>INPUT and RESULTS</vt:lpstr>
      <vt:lpstr>Parameter tables</vt:lpstr>
      <vt:lpstr>Rock strength</vt:lpstr>
      <vt:lpstr>RMR support</vt:lpstr>
      <vt:lpstr>Q-support</vt:lpstr>
      <vt:lpstr>RMi-support</vt:lpstr>
      <vt:lpstr>Support capacity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Arild Palmstrøm</dc:creator>
  <cp:lastModifiedBy>Arild Palmstrøm</cp:lastModifiedBy>
  <cp:lastPrinted>2026-05-15T09:41:16Z</cp:lastPrinted>
  <dcterms:created xsi:type="dcterms:W3CDTF">2005-05-19T20:34:20Z</dcterms:created>
  <dcterms:modified xsi:type="dcterms:W3CDTF">2026-05-22T21:40:29Z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0x010100C0714E79E8AD164AB01936FBE0F18BB9</vt:lpwstr>
  </property>
</Properties>
</file>